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835"/>
  </bookViews>
  <sheets>
    <sheet name="Summary" sheetId="4" r:id="rId1"/>
    <sheet name="Feeding" sheetId="2" state="hidden" r:id="rId2"/>
    <sheet name="Hydration" sheetId="3" state="hidden" r:id="rId3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G112" i="3"/>
  <c r="G113" i="3"/>
  <c r="J115" i="3"/>
  <c r="H56" i="3"/>
  <c r="H58" i="3"/>
  <c r="H60" i="3"/>
  <c r="H9" i="3"/>
  <c r="H65" i="3"/>
  <c r="H64" i="3"/>
  <c r="H70" i="3"/>
  <c r="H71" i="3"/>
  <c r="H73" i="3"/>
  <c r="F15" i="3"/>
  <c r="H77" i="3"/>
  <c r="H79" i="3"/>
  <c r="H84" i="3"/>
  <c r="H83" i="3"/>
  <c r="H89" i="3"/>
  <c r="H90" i="3"/>
  <c r="H93" i="3"/>
  <c r="H94" i="3"/>
  <c r="H95" i="3"/>
  <c r="H97" i="3"/>
  <c r="H98" i="3"/>
  <c r="H43" i="3"/>
  <c r="H102" i="3"/>
  <c r="H103" i="3"/>
  <c r="H105" i="3"/>
  <c r="F16" i="3"/>
  <c r="H15" i="3"/>
  <c r="J119" i="3"/>
  <c r="J123" i="3"/>
  <c r="I19" i="3"/>
  <c r="I30" i="4"/>
  <c r="O23" i="4"/>
  <c r="H8" i="2"/>
  <c r="G112" i="2"/>
  <c r="G113" i="2"/>
  <c r="J115" i="2"/>
  <c r="H56" i="2"/>
  <c r="H58" i="2"/>
  <c r="H60" i="2"/>
  <c r="H9" i="2"/>
  <c r="H65" i="2"/>
  <c r="H64" i="2"/>
  <c r="H70" i="2"/>
  <c r="H71" i="2"/>
  <c r="H73" i="2"/>
  <c r="F15" i="2"/>
  <c r="H77" i="2"/>
  <c r="H79" i="2"/>
  <c r="H84" i="2"/>
  <c r="H83" i="2"/>
  <c r="H89" i="2"/>
  <c r="H90" i="2"/>
  <c r="H93" i="2"/>
  <c r="H94" i="2"/>
  <c r="H95" i="2"/>
  <c r="H97" i="2"/>
  <c r="H98" i="2"/>
  <c r="H43" i="2"/>
  <c r="H102" i="2"/>
  <c r="H103" i="2"/>
  <c r="H105" i="2"/>
  <c r="F16" i="2"/>
  <c r="H15" i="2"/>
  <c r="J119" i="2"/>
  <c r="J123" i="2"/>
  <c r="I19" i="2"/>
  <c r="I20" i="4"/>
  <c r="O22" i="4"/>
  <c r="O24" i="4"/>
  <c r="O17" i="4"/>
  <c r="H45" i="2"/>
  <c r="R43" i="2"/>
  <c r="R45" i="2"/>
  <c r="R46" i="2"/>
  <c r="H49" i="2"/>
  <c r="H50" i="2"/>
  <c r="H51" i="2"/>
  <c r="F14" i="2"/>
  <c r="H14" i="2"/>
  <c r="J118" i="2"/>
  <c r="J122" i="2"/>
  <c r="I18" i="2"/>
  <c r="I19" i="4"/>
  <c r="O16" i="4"/>
  <c r="O18" i="4"/>
  <c r="I15" i="2"/>
  <c r="I16" i="4"/>
  <c r="N22" i="4"/>
  <c r="H16" i="4"/>
  <c r="M22" i="4"/>
  <c r="H26" i="4"/>
  <c r="M23" i="4"/>
  <c r="M24" i="4"/>
  <c r="F16" i="4"/>
  <c r="F26" i="4"/>
  <c r="N23" i="4"/>
  <c r="N24" i="4"/>
  <c r="I14" i="2"/>
  <c r="I15" i="4"/>
  <c r="N16" i="4"/>
  <c r="H15" i="4"/>
  <c r="M16" i="4"/>
  <c r="M17" i="4"/>
  <c r="M18" i="4"/>
  <c r="F15" i="4"/>
  <c r="N17" i="4"/>
  <c r="N18" i="4"/>
  <c r="F46" i="4"/>
  <c r="F47" i="4"/>
  <c r="F48" i="4"/>
  <c r="F17" i="4"/>
  <c r="F27" i="4"/>
  <c r="F50" i="4"/>
  <c r="H48" i="4"/>
  <c r="I48" i="4"/>
  <c r="E16" i="2"/>
  <c r="E17" i="4"/>
  <c r="E16" i="3"/>
  <c r="E27" i="4"/>
  <c r="E50" i="4"/>
  <c r="E15" i="3"/>
  <c r="E26" i="4"/>
  <c r="E47" i="4"/>
  <c r="E15" i="2"/>
  <c r="E16" i="4"/>
  <c r="E46" i="4"/>
  <c r="E48" i="4"/>
  <c r="F36" i="4"/>
  <c r="F37" i="4"/>
  <c r="F38" i="4"/>
  <c r="F40" i="4"/>
  <c r="H38" i="4"/>
  <c r="I38" i="4"/>
  <c r="E14" i="2"/>
  <c r="E15" i="4"/>
  <c r="E36" i="4"/>
  <c r="E37" i="4"/>
  <c r="E38" i="4"/>
  <c r="E40" i="4"/>
  <c r="R43" i="3"/>
  <c r="I6" i="3"/>
  <c r="H45" i="3"/>
  <c r="I15" i="3"/>
  <c r="I26" i="4"/>
  <c r="I14" i="3"/>
  <c r="H14" i="3"/>
  <c r="F14" i="3"/>
  <c r="R45" i="3"/>
  <c r="R46" i="3"/>
  <c r="E14" i="3"/>
  <c r="I6" i="2"/>
  <c r="H78" i="3"/>
  <c r="J112" i="3"/>
  <c r="J113" i="3"/>
  <c r="J114" i="3"/>
  <c r="H49" i="3"/>
  <c r="H50" i="3"/>
  <c r="R57" i="3"/>
  <c r="R63" i="3"/>
  <c r="R70" i="3"/>
  <c r="J118" i="3"/>
  <c r="J122" i="3"/>
  <c r="H78" i="2"/>
  <c r="J112" i="2"/>
  <c r="J113" i="2"/>
  <c r="J114" i="2"/>
  <c r="R57" i="2"/>
  <c r="R63" i="2"/>
  <c r="R70" i="2"/>
</calcChain>
</file>

<file path=xl/sharedStrings.xml><?xml version="1.0" encoding="utf-8"?>
<sst xmlns="http://schemas.openxmlformats.org/spreadsheetml/2006/main" count="336" uniqueCount="149">
  <si>
    <t>Average occupancy of facility</t>
  </si>
  <si>
    <t>Average feedings per day</t>
  </si>
  <si>
    <t>Use paper trays?</t>
  </si>
  <si>
    <t>Average cost per tray</t>
  </si>
  <si>
    <t>spill, then you have 15 x 15 = 225 minutes which is 3.75 hours</t>
  </si>
  <si>
    <t>Formula for spill cleaning</t>
  </si>
  <si>
    <t>Spills per day</t>
  </si>
  <si>
    <t>Time to clean spill</t>
  </si>
  <si>
    <t>= Minutes</t>
  </si>
  <si>
    <t>= Hours</t>
  </si>
  <si>
    <t>Hourly wage of staff</t>
  </si>
  <si>
    <t>=Total annual cost paper trays</t>
  </si>
  <si>
    <t>=Trays per day</t>
  </si>
  <si>
    <t>Average hours cleaning spills (see estimator to right)</t>
  </si>
  <si>
    <t>PAPER TRAYS</t>
  </si>
  <si>
    <t>METAL BOWLS</t>
  </si>
  <si>
    <t>=Bowls needed at facility</t>
  </si>
  <si>
    <t>Cost of a bowl</t>
  </si>
  <si>
    <t>Annual cost of bowls</t>
  </si>
  <si>
    <t>Washing</t>
  </si>
  <si>
    <t>Average hours staff cleaning bowls</t>
  </si>
  <si>
    <t>Staff costs</t>
  </si>
  <si>
    <t>Soap</t>
  </si>
  <si>
    <t>Container of soap</t>
  </si>
  <si>
    <t>Cost of water</t>
  </si>
  <si>
    <t>Average water cost/gallon</t>
  </si>
  <si>
    <t>=Hourly cost of water</t>
  </si>
  <si>
    <t>Hourly cost of soap</t>
  </si>
  <si>
    <t>Hourly cost of water</t>
  </si>
  <si>
    <t>Cost of electricity</t>
  </si>
  <si>
    <t>Average US cost/kwh</t>
  </si>
  <si>
    <t>Average commercial gallons used</t>
  </si>
  <si>
    <t>NSF per hour</t>
  </si>
  <si>
    <t>Hourly cost of electric</t>
  </si>
  <si>
    <t>Cost per tab</t>
  </si>
  <si>
    <t>Hourly cost of disinfectant (assume same as soap)</t>
  </si>
  <si>
    <t>=Total daily staff cost bowl washing</t>
  </si>
  <si>
    <t>Per year</t>
  </si>
  <si>
    <t>Cost of bowls and washing annual</t>
  </si>
  <si>
    <t>KLEANBOWl</t>
  </si>
  <si>
    <t>Cost of frame</t>
  </si>
  <si>
    <t>Cost of frames</t>
  </si>
  <si>
    <t>Annual cost of frames</t>
  </si>
  <si>
    <t>Cost of washing</t>
  </si>
  <si>
    <t>Cascade 62 tabs Amazon</t>
  </si>
  <si>
    <t>Washing once every four days (vs 2x daily)</t>
  </si>
  <si>
    <t>hours</t>
  </si>
  <si>
    <t>Cost annually</t>
  </si>
  <si>
    <t>Annual wipe cost staff</t>
  </si>
  <si>
    <t>Cost per Unit</t>
  </si>
  <si>
    <t>Cost of Nourish Pet Refills (24oz)</t>
  </si>
  <si>
    <t>Kleanbowl system annual cost</t>
  </si>
  <si>
    <t>Wipes</t>
  </si>
  <si>
    <t>Per wipe</t>
  </si>
  <si>
    <t>Lysol 320 Amazon</t>
  </si>
  <si>
    <t>15 seconds per wipe</t>
  </si>
  <si>
    <t>Average daily occupancy for facility</t>
  </si>
  <si>
    <t>Hourly wage for staff</t>
  </si>
  <si>
    <t xml:space="preserve">If you have 100 meals and 15 of those spill and it takes 15 minutes to clean </t>
  </si>
  <si>
    <t>Wipe cost above to right</t>
  </si>
  <si>
    <t>Paper Trays</t>
  </si>
  <si>
    <t>Regular bowls</t>
  </si>
  <si>
    <t>3.5 hours for 50 guests = 4.2 minutes per guest</t>
  </si>
  <si>
    <t>Cost of wipes (2xguestsx4cents)</t>
  </si>
  <si>
    <t>List Price</t>
  </si>
  <si>
    <t>ISO Discount</t>
  </si>
  <si>
    <t>2 per every 4 days of stay</t>
  </si>
  <si>
    <t>Pet Professional Input</t>
  </si>
  <si>
    <t>Estimator Output</t>
  </si>
  <si>
    <t>System Used</t>
  </si>
  <si>
    <t>Daily Labor</t>
  </si>
  <si>
    <t>Hours Cleaning</t>
  </si>
  <si>
    <t>Total Annual</t>
  </si>
  <si>
    <t>Labor &amp; Material Costs</t>
  </si>
  <si>
    <t>Annual</t>
  </si>
  <si>
    <t>Savings $</t>
  </si>
  <si>
    <t>Savings %</t>
  </si>
  <si>
    <t>Kinn Kleanbowl Provides</t>
  </si>
  <si>
    <t>Detailed Facility-Specific System Process Inputs and Assumptions are below</t>
  </si>
  <si>
    <t>Kinn Kleanbowl</t>
  </si>
  <si>
    <t>Cost Savings Estimator for Pet Professional Facility Bowl Cleaning Processes</t>
  </si>
  <si>
    <t>Estimated Payback Period in months Calculation:</t>
  </si>
  <si>
    <t>Kleanbowl ISO Investment</t>
  </si>
  <si>
    <t>Frames</t>
  </si>
  <si>
    <t>Refills</t>
  </si>
  <si>
    <t>Discount</t>
  </si>
  <si>
    <t>Total</t>
  </si>
  <si>
    <t>(2 months supply)</t>
  </si>
  <si>
    <t>Unit Price</t>
  </si>
  <si>
    <t>Daily Savings Kleanbowl vs.</t>
  </si>
  <si>
    <t>Paper Food Trays</t>
  </si>
  <si>
    <t>Washing Ordinary Bowls</t>
  </si>
  <si>
    <t>Payback Period in Days</t>
  </si>
  <si>
    <t>Regaular Bowls</t>
  </si>
  <si>
    <t>replacing</t>
  </si>
  <si>
    <r>
      <t xml:space="preserve">   </t>
    </r>
    <r>
      <rPr>
        <b/>
        <sz val="12"/>
        <color rgb="FFFF0000"/>
        <rFont val="Calibri"/>
        <family val="2"/>
      </rPr>
      <t>←</t>
    </r>
  </si>
  <si>
    <t>NA</t>
  </si>
  <si>
    <t>Assigned</t>
  </si>
  <si>
    <r>
      <t>Investment Payback Period in</t>
    </r>
    <r>
      <rPr>
        <b/>
        <u/>
        <sz val="12"/>
        <color theme="1"/>
        <rFont val="Calibri"/>
        <family val="2"/>
        <scheme val="minor"/>
      </rPr>
      <t xml:space="preserve"> Days</t>
    </r>
  </si>
  <si>
    <r>
      <rPr>
        <sz val="12"/>
        <color theme="1"/>
        <rFont val="Calibri"/>
        <family val="2"/>
      </rPr>
      <t xml:space="preserve">→ </t>
    </r>
    <r>
      <rPr>
        <sz val="12"/>
        <color theme="1"/>
        <rFont val="Calibri"/>
        <family val="2"/>
        <scheme val="minor"/>
      </rPr>
      <t>Order Your Kleanbowl Test Kit today at a 30% discount to validate your facility savings</t>
    </r>
  </si>
  <si>
    <r>
      <rPr>
        <sz val="12"/>
        <color theme="1"/>
        <rFont val="Calibri"/>
        <family val="2"/>
      </rPr>
      <t xml:space="preserve">→ </t>
    </r>
    <r>
      <rPr>
        <sz val="12"/>
        <color theme="1"/>
        <rFont val="Calibri"/>
        <family val="2"/>
        <scheme val="minor"/>
      </rPr>
      <t>Email us at Marketing@kinninc.com and request a digital copy of the Estimator to use at your facility</t>
    </r>
  </si>
  <si>
    <t>Feeds per day (guests x 2)</t>
  </si>
  <si>
    <t>Average time, 2 wipes per stay</t>
  </si>
  <si>
    <t>Average number guests</t>
  </si>
  <si>
    <r>
      <rPr>
        <sz val="11"/>
        <color theme="1"/>
        <rFont val="Calibri"/>
        <family val="2"/>
      </rPr>
      <t xml:space="preserve">→ </t>
    </r>
    <r>
      <rPr>
        <sz val="11"/>
        <color theme="1"/>
        <rFont val="Calibri"/>
        <family val="2"/>
        <scheme val="minor"/>
      </rPr>
      <t>Email us at Marketing@kinninc.com and request a digital copy of the Estimator to use at your facility</t>
    </r>
  </si>
  <si>
    <r>
      <rPr>
        <sz val="11"/>
        <color theme="1"/>
        <rFont val="Calibri"/>
        <family val="2"/>
      </rPr>
      <t xml:space="preserve">→ </t>
    </r>
    <r>
      <rPr>
        <sz val="11"/>
        <color theme="1"/>
        <rFont val="Calibri"/>
        <family val="2"/>
        <scheme val="minor"/>
      </rPr>
      <t>Order Your Kleanbowl Test Kit today at a 30% discount to validate your facility savings</t>
    </r>
  </si>
  <si>
    <r>
      <t>Investment Payback Period in</t>
    </r>
    <r>
      <rPr>
        <b/>
        <u/>
        <sz val="11"/>
        <color theme="1"/>
        <rFont val="Calibri"/>
        <family val="2"/>
        <scheme val="minor"/>
      </rPr>
      <t xml:space="preserve"> Days</t>
    </r>
  </si>
  <si>
    <t>Feeding Bowls</t>
  </si>
  <si>
    <t>Average water bowl fills per day</t>
  </si>
  <si>
    <t>Assigned Water Bowls</t>
  </si>
  <si>
    <r>
      <t xml:space="preserve">Investment Payback Period in </t>
    </r>
    <r>
      <rPr>
        <b/>
        <u/>
        <sz val="12"/>
        <color theme="1"/>
        <rFont val="Calibri"/>
        <family val="2"/>
        <scheme val="minor"/>
      </rPr>
      <t>Days</t>
    </r>
  </si>
  <si>
    <r>
      <rPr>
        <b/>
        <sz val="12"/>
        <color theme="1"/>
        <rFont val="Calibri"/>
        <family val="2"/>
        <scheme val="minor"/>
      </rPr>
      <t xml:space="preserve">ENTER HERE  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</rPr>
      <t>→</t>
    </r>
  </si>
  <si>
    <t>Feeding only</t>
  </si>
  <si>
    <t>Hyrdration only</t>
  </si>
  <si>
    <t>Using Kleanbowls for Feeding Only</t>
  </si>
  <si>
    <t>Using Kleanbowls for Hydration Only</t>
  </si>
  <si>
    <t>Regular Bowls</t>
  </si>
  <si>
    <t>Daily Labor Hours Cleaning</t>
  </si>
  <si>
    <t>Total Annual Labor &amp; Material Costs</t>
  </si>
  <si>
    <t>Annual Savings %</t>
  </si>
  <si>
    <t>Annual     Savings $</t>
  </si>
  <si>
    <r>
      <t xml:space="preserve">                          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>→</t>
    </r>
  </si>
  <si>
    <r>
      <t xml:space="preserve">Input 1 to compare Kleanbowl cost savings for Feeding, </t>
    </r>
    <r>
      <rPr>
        <sz val="9"/>
        <color theme="1"/>
        <rFont val="Calibri"/>
        <family val="2"/>
        <scheme val="minor"/>
      </rPr>
      <t>otherwise leave blank</t>
    </r>
  </si>
  <si>
    <r>
      <t xml:space="preserve">Input 1 to compare Kleanbowl cost savings for Hydration, </t>
    </r>
    <r>
      <rPr>
        <sz val="9"/>
        <color theme="1"/>
        <rFont val="Calibri"/>
        <family val="2"/>
        <scheme val="minor"/>
      </rPr>
      <t>otherwise leave blank</t>
    </r>
  </si>
  <si>
    <t>Feeds per day (guests x 1)</t>
  </si>
  <si>
    <t>Washing once every four days (vs 1x daily)</t>
  </si>
  <si>
    <t>Cost of wipes (1xguestsx4cents)</t>
  </si>
  <si>
    <t>1.75 hours for 50 guests = 2.1 minutes per guest</t>
  </si>
  <si>
    <t>based on 1 bowl change per day</t>
  </si>
  <si>
    <t>Feeding</t>
  </si>
  <si>
    <t>Hydration</t>
  </si>
  <si>
    <t>Feeding &amp; Hydration</t>
  </si>
  <si>
    <t>Using Kleanbowls for Feeding &amp; Hydration COMBINED</t>
  </si>
  <si>
    <t>Assigned Feeding &amp; Water Bowls</t>
  </si>
  <si>
    <t>Combined SAVINGS when using the Kinn Kleanbowl for both Feeding &amp; Hydration</t>
  </si>
  <si>
    <t>Paper Trays for Feeding</t>
  </si>
  <si>
    <t>Regular Bowls for Water</t>
  </si>
  <si>
    <t>Investment Payback Period in Days</t>
  </si>
  <si>
    <t>Scenario B:</t>
  </si>
  <si>
    <t>Scenario A:</t>
  </si>
  <si>
    <t>Regular Bowls for Feeding</t>
  </si>
  <si>
    <t xml:space="preserve">  Combined</t>
  </si>
  <si>
    <t>©2017 Kinn, Inc. All Rights Reserved. Multiple patents pending.</t>
  </si>
  <si>
    <t>partnership with Pet Sustainability Coalition. Frequency of home washing from the FDA Center for Veterinary Medicine over the lifetime of your pet</t>
  </si>
  <si>
    <t>Source: Life-Cycle Analysis (LCA) of a standard industry stainless steel bowl vs. a Kinn Kleanbowl conducted by Sterling Consulting in</t>
  </si>
  <si>
    <t xml:space="preserve">Note: All cost estimates are based on actual US pet professional customer input and/or other industry sources. </t>
  </si>
  <si>
    <t>Note that these costs are estimates, may vary, and your business actual savings may be different.</t>
  </si>
  <si>
    <t>To receive a Kinn Estimator with the ability to further customize your business'</t>
  </si>
  <si>
    <r>
      <t xml:space="preserve">estimates, please contact us at </t>
    </r>
    <r>
      <rPr>
        <sz val="10"/>
        <rFont val="Calibri"/>
        <family val="2"/>
        <scheme val="minor"/>
      </rPr>
      <t>CustomerService@kinninc.com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</si>
</sst>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&quot;$&quot;#,##0"/>
    <numFmt numFmtId="166" formatCode="&quot;$&quot;#,##0.00"/>
    <numFmt numFmtId="167" formatCode="_(&quot;$&quot;* #,##0_);_(&quot;$&quot;* \(#,##0\);_(&quot;$&quot;* &quot;-&quot;??_);_(@_)"/>
    <numFmt numFmtId="168" formatCode="0\ &quot;Days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  <scheme val="minor"/>
    </font>
    <font>
      <b/>
      <i/>
      <sz val="12"/>
      <color theme="4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sz val="12"/>
      <color rgb="FFFF0000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i/>
      <sz val="11"/>
      <color theme="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66">
    <xf numFmtId="0" fontId="0" fillId="0" borderId="0" xfId="0"/>
    <xf numFmtId="0" fontId="5" fillId="0" borderId="0" xfId="0" applyFont="1"/>
    <xf numFmtId="0" fontId="7" fillId="0" borderId="0" xfId="0" applyFont="1"/>
    <xf numFmtId="0" fontId="8" fillId="2" borderId="0" xfId="0" applyFont="1" applyFill="1"/>
    <xf numFmtId="0" fontId="5" fillId="2" borderId="0" xfId="0" applyFont="1" applyFill="1"/>
    <xf numFmtId="0" fontId="8" fillId="0" borderId="0" xfId="0" applyFont="1" applyFill="1"/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/>
    <xf numFmtId="165" fontId="9" fillId="0" borderId="0" xfId="0" applyNumberFormat="1" applyFont="1" applyFill="1"/>
    <xf numFmtId="9" fontId="9" fillId="0" borderId="0" xfId="0" applyNumberFormat="1" applyFont="1" applyFill="1"/>
    <xf numFmtId="44" fontId="5" fillId="0" borderId="0" xfId="0" applyNumberFormat="1" applyFont="1"/>
    <xf numFmtId="9" fontId="5" fillId="0" borderId="0" xfId="0" applyNumberFormat="1" applyFont="1"/>
    <xf numFmtId="0" fontId="5" fillId="4" borderId="0" xfId="0" applyFont="1" applyFill="1"/>
    <xf numFmtId="0" fontId="8" fillId="4" borderId="1" xfId="0" applyFont="1" applyFill="1" applyBorder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44" fontId="8" fillId="4" borderId="1" xfId="1" applyFont="1" applyFill="1" applyBorder="1" applyAlignment="1"/>
    <xf numFmtId="0" fontId="10" fillId="2" borderId="0" xfId="0" applyFont="1" applyFill="1"/>
    <xf numFmtId="0" fontId="8" fillId="0" borderId="0" xfId="0" applyFont="1"/>
    <xf numFmtId="2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/>
    <xf numFmtId="165" fontId="5" fillId="0" borderId="0" xfId="0" applyNumberFormat="1" applyFont="1"/>
    <xf numFmtId="165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right"/>
    </xf>
    <xf numFmtId="165" fontId="9" fillId="0" borderId="0" xfId="0" applyNumberFormat="1" applyFont="1"/>
    <xf numFmtId="9" fontId="9" fillId="0" borderId="0" xfId="0" applyNumberFormat="1" applyFont="1"/>
    <xf numFmtId="2" fontId="8" fillId="0" borderId="0" xfId="0" applyNumberFormat="1" applyFont="1" applyFill="1" applyAlignment="1">
      <alignment horizontal="left"/>
    </xf>
    <xf numFmtId="165" fontId="8" fillId="0" borderId="0" xfId="0" applyNumberFormat="1" applyFont="1"/>
    <xf numFmtId="1" fontId="8" fillId="0" borderId="0" xfId="0" applyNumberFormat="1" applyFont="1" applyAlignment="1">
      <alignment horizontal="right"/>
    </xf>
    <xf numFmtId="1" fontId="8" fillId="0" borderId="0" xfId="0" applyNumberFormat="1" applyFont="1"/>
    <xf numFmtId="1" fontId="5" fillId="0" borderId="0" xfId="0" applyNumberFormat="1" applyFont="1"/>
    <xf numFmtId="165" fontId="8" fillId="0" borderId="0" xfId="0" applyNumberFormat="1" applyFont="1" applyFill="1"/>
    <xf numFmtId="0" fontId="11" fillId="3" borderId="0" xfId="0" applyFont="1" applyFill="1"/>
    <xf numFmtId="0" fontId="3" fillId="0" borderId="0" xfId="0" applyFont="1"/>
    <xf numFmtId="0" fontId="5" fillId="3" borderId="0" xfId="0" applyFont="1" applyFill="1"/>
    <xf numFmtId="0" fontId="5" fillId="0" borderId="0" xfId="0" quotePrefix="1" applyFont="1"/>
    <xf numFmtId="44" fontId="5" fillId="3" borderId="0" xfId="1" applyFont="1" applyFill="1"/>
    <xf numFmtId="44" fontId="5" fillId="0" borderId="0" xfId="1" applyFont="1"/>
    <xf numFmtId="8" fontId="5" fillId="3" borderId="0" xfId="0" applyNumberFormat="1" applyFont="1" applyFill="1"/>
    <xf numFmtId="164" fontId="5" fillId="0" borderId="0" xfId="1" applyNumberFormat="1" applyFont="1"/>
    <xf numFmtId="0" fontId="5" fillId="0" borderId="0" xfId="0" applyFont="1" applyAlignment="1">
      <alignment horizontal="center"/>
    </xf>
    <xf numFmtId="8" fontId="5" fillId="0" borderId="0" xfId="0" applyNumberFormat="1" applyFont="1"/>
    <xf numFmtId="166" fontId="5" fillId="0" borderId="0" xfId="0" applyNumberFormat="1" applyFont="1"/>
    <xf numFmtId="0" fontId="6" fillId="5" borderId="0" xfId="0" applyFont="1" applyFill="1"/>
    <xf numFmtId="0" fontId="5" fillId="5" borderId="0" xfId="0" applyFont="1" applyFill="1"/>
    <xf numFmtId="1" fontId="0" fillId="0" borderId="0" xfId="0" applyNumberFormat="1"/>
    <xf numFmtId="166" fontId="0" fillId="0" borderId="0" xfId="0" applyNumberFormat="1"/>
    <xf numFmtId="8" fontId="0" fillId="0" borderId="0" xfId="0" applyNumberFormat="1"/>
    <xf numFmtId="9" fontId="0" fillId="0" borderId="0" xfId="0" applyNumberFormat="1"/>
    <xf numFmtId="44" fontId="0" fillId="0" borderId="0" xfId="1" applyFont="1"/>
    <xf numFmtId="44" fontId="0" fillId="0" borderId="0" xfId="0" applyNumberFormat="1"/>
    <xf numFmtId="44" fontId="0" fillId="3" borderId="0" xfId="1" applyFont="1" applyFill="1"/>
    <xf numFmtId="0" fontId="0" fillId="3" borderId="0" xfId="0" applyFill="1"/>
    <xf numFmtId="0" fontId="0" fillId="0" borderId="0" xfId="0" quotePrefix="1"/>
    <xf numFmtId="0" fontId="0" fillId="0" borderId="0" xfId="0" applyAlignment="1">
      <alignment horizontal="center"/>
    </xf>
    <xf numFmtId="164" fontId="0" fillId="0" borderId="0" xfId="1" applyNumberFormat="1" applyFont="1"/>
    <xf numFmtId="8" fontId="0" fillId="3" borderId="0" xfId="0" applyNumberFormat="1" applyFill="1"/>
    <xf numFmtId="0" fontId="12" fillId="3" borderId="0" xfId="0" applyFont="1" applyFill="1"/>
    <xf numFmtId="0" fontId="13" fillId="0" borderId="0" xfId="0" applyFont="1"/>
    <xf numFmtId="0" fontId="14" fillId="0" borderId="0" xfId="0" applyFont="1"/>
    <xf numFmtId="165" fontId="0" fillId="0" borderId="0" xfId="0" applyNumberFormat="1"/>
    <xf numFmtId="165" fontId="0" fillId="0" borderId="0" xfId="0" applyNumberFormat="1" applyFill="1"/>
    <xf numFmtId="2" fontId="0" fillId="0" borderId="0" xfId="0" applyNumberFormat="1" applyFill="1" applyAlignment="1">
      <alignment horizontal="center"/>
    </xf>
    <xf numFmtId="0" fontId="0" fillId="0" borderId="0" xfId="0" applyFill="1"/>
    <xf numFmtId="165" fontId="14" fillId="0" borderId="0" xfId="0" applyNumberFormat="1" applyFont="1" applyFill="1"/>
    <xf numFmtId="165" fontId="14" fillId="0" borderId="0" xfId="0" applyNumberFormat="1" applyFont="1"/>
    <xf numFmtId="1" fontId="14" fillId="0" borderId="0" xfId="0" applyNumberFormat="1" applyFont="1"/>
    <xf numFmtId="2" fontId="14" fillId="0" borderId="0" xfId="0" applyNumberFormat="1" applyFont="1" applyFill="1" applyAlignment="1">
      <alignment horizontal="left"/>
    </xf>
    <xf numFmtId="165" fontId="0" fillId="2" borderId="0" xfId="0" applyNumberFormat="1" applyFill="1"/>
    <xf numFmtId="2" fontId="0" fillId="2" borderId="0" xfId="0" applyNumberFormat="1" applyFill="1" applyAlignment="1">
      <alignment horizontal="center"/>
    </xf>
    <xf numFmtId="0" fontId="0" fillId="2" borderId="0" xfId="0" applyFill="1"/>
    <xf numFmtId="9" fontId="16" fillId="0" borderId="0" xfId="0" applyNumberFormat="1" applyFont="1"/>
    <xf numFmtId="165" fontId="16" fillId="0" borderId="0" xfId="0" applyNumberFormat="1" applyFont="1"/>
    <xf numFmtId="0" fontId="14" fillId="2" borderId="0" xfId="0" applyFont="1" applyFill="1"/>
    <xf numFmtId="0" fontId="15" fillId="0" borderId="0" xfId="0" applyFont="1"/>
    <xf numFmtId="0" fontId="17" fillId="2" borderId="0" xfId="0" applyFont="1" applyFill="1"/>
    <xf numFmtId="44" fontId="14" fillId="4" borderId="1" xfId="1" applyFont="1" applyFill="1" applyBorder="1" applyAlignment="1"/>
    <xf numFmtId="0" fontId="0" fillId="4" borderId="0" xfId="0" applyFill="1"/>
    <xf numFmtId="0" fontId="13" fillId="2" borderId="0" xfId="0" applyFont="1" applyFill="1"/>
    <xf numFmtId="9" fontId="16" fillId="0" borderId="0" xfId="0" applyNumberFormat="1" applyFont="1" applyFill="1"/>
    <xf numFmtId="165" fontId="16" fillId="0" borderId="0" xfId="0" applyNumberFormat="1" applyFont="1" applyFill="1"/>
    <xf numFmtId="0" fontId="18" fillId="2" borderId="0" xfId="0" applyFont="1" applyFill="1"/>
    <xf numFmtId="0" fontId="14" fillId="4" borderId="1" xfId="0" applyFont="1" applyFill="1" applyBorder="1" applyAlignment="1">
      <alignment horizontal="right"/>
    </xf>
    <xf numFmtId="0" fontId="14" fillId="0" borderId="0" xfId="0" applyFont="1" applyFill="1"/>
    <xf numFmtId="0" fontId="19" fillId="5" borderId="0" xfId="0" applyFont="1" applyFill="1"/>
    <xf numFmtId="0" fontId="20" fillId="0" borderId="0" xfId="0" applyFont="1"/>
    <xf numFmtId="0" fontId="8" fillId="6" borderId="1" xfId="0" applyFont="1" applyFill="1" applyBorder="1" applyAlignment="1">
      <alignment horizontal="right"/>
    </xf>
    <xf numFmtId="44" fontId="8" fillId="6" borderId="1" xfId="1" applyFont="1" applyFill="1" applyBorder="1" applyAlignment="1"/>
    <xf numFmtId="165" fontId="5" fillId="2" borderId="0" xfId="0" applyNumberFormat="1" applyFont="1" applyFill="1" applyAlignment="1">
      <alignment horizontal="right"/>
    </xf>
    <xf numFmtId="0" fontId="8" fillId="4" borderId="3" xfId="0" applyFont="1" applyFill="1" applyBorder="1"/>
    <xf numFmtId="0" fontId="5" fillId="4" borderId="4" xfId="0" applyFont="1" applyFill="1" applyBorder="1"/>
    <xf numFmtId="0" fontId="5" fillId="0" borderId="7" xfId="0" applyFont="1" applyBorder="1"/>
    <xf numFmtId="0" fontId="5" fillId="0" borderId="0" xfId="0" applyFont="1" applyBorder="1"/>
    <xf numFmtId="0" fontId="7" fillId="0" borderId="0" xfId="0" applyFont="1" applyBorder="1"/>
    <xf numFmtId="0" fontId="8" fillId="2" borderId="7" xfId="0" applyFont="1" applyFill="1" applyBorder="1"/>
    <xf numFmtId="0" fontId="5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167" fontId="5" fillId="2" borderId="0" xfId="1" applyNumberFormat="1" applyFont="1" applyFill="1" applyBorder="1" applyAlignment="1">
      <alignment horizontal="center"/>
    </xf>
    <xf numFmtId="165" fontId="5" fillId="0" borderId="0" xfId="0" applyNumberFormat="1" applyFont="1" applyBorder="1"/>
    <xf numFmtId="9" fontId="21" fillId="7" borderId="8" xfId="0" applyNumberFormat="1" applyFont="1" applyFill="1" applyBorder="1" applyAlignment="1">
      <alignment horizontal="right"/>
    </xf>
    <xf numFmtId="0" fontId="5" fillId="2" borderId="7" xfId="0" applyFont="1" applyFill="1" applyBorder="1"/>
    <xf numFmtId="167" fontId="5" fillId="0" borderId="0" xfId="1" applyNumberFormat="1" applyFont="1" applyFill="1" applyBorder="1" applyAlignment="1">
      <alignment horizontal="center"/>
    </xf>
    <xf numFmtId="0" fontId="5" fillId="0" borderId="8" xfId="0" applyFont="1" applyBorder="1"/>
    <xf numFmtId="0" fontId="5" fillId="0" borderId="7" xfId="0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right"/>
    </xf>
    <xf numFmtId="1" fontId="8" fillId="0" borderId="8" xfId="0" applyNumberFormat="1" applyFont="1" applyBorder="1"/>
    <xf numFmtId="0" fontId="5" fillId="0" borderId="9" xfId="0" applyFont="1" applyFill="1" applyBorder="1"/>
    <xf numFmtId="0" fontId="5" fillId="0" borderId="10" xfId="0" applyFont="1" applyFill="1" applyBorder="1"/>
    <xf numFmtId="2" fontId="5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Border="1"/>
    <xf numFmtId="0" fontId="5" fillId="0" borderId="10" xfId="0" applyFont="1" applyBorder="1"/>
    <xf numFmtId="165" fontId="5" fillId="0" borderId="10" xfId="0" applyNumberFormat="1" applyFont="1" applyBorder="1"/>
    <xf numFmtId="1" fontId="8" fillId="0" borderId="11" xfId="0" applyNumberFormat="1" applyFont="1" applyBorder="1"/>
    <xf numFmtId="2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67" fontId="5" fillId="2" borderId="13" xfId="1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167" fontId="21" fillId="7" borderId="0" xfId="1" applyNumberFormat="1" applyFont="1" applyFill="1" applyBorder="1" applyAlignment="1">
      <alignment horizontal="right"/>
    </xf>
    <xf numFmtId="0" fontId="8" fillId="7" borderId="5" xfId="0" applyFont="1" applyFill="1" applyBorder="1"/>
    <xf numFmtId="0" fontId="5" fillId="7" borderId="6" xfId="0" applyFont="1" applyFill="1" applyBorder="1"/>
    <xf numFmtId="0" fontId="0" fillId="0" borderId="0" xfId="0" applyBorder="1"/>
    <xf numFmtId="165" fontId="5" fillId="0" borderId="8" xfId="0" applyNumberFormat="1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2" fontId="5" fillId="2" borderId="10" xfId="0" applyNumberFormat="1" applyFont="1" applyFill="1" applyBorder="1" applyAlignment="1">
      <alignment horizontal="center"/>
    </xf>
    <xf numFmtId="167" fontId="5" fillId="2" borderId="10" xfId="1" applyNumberFormat="1" applyFont="1" applyFill="1" applyBorder="1" applyAlignment="1">
      <alignment horizontal="center"/>
    </xf>
    <xf numFmtId="0" fontId="23" fillId="2" borderId="0" xfId="0" applyFont="1" applyFill="1" applyBorder="1"/>
    <xf numFmtId="165" fontId="8" fillId="0" borderId="0" xfId="0" applyNumberFormat="1" applyFont="1" applyBorder="1"/>
    <xf numFmtId="1" fontId="8" fillId="0" borderId="0" xfId="0" applyNumberFormat="1" applyFont="1" applyBorder="1"/>
    <xf numFmtId="0" fontId="0" fillId="0" borderId="7" xfId="0" applyBorder="1"/>
    <xf numFmtId="0" fontId="8" fillId="0" borderId="8" xfId="0" applyFont="1" applyFill="1" applyBorder="1" applyAlignment="1">
      <alignment horizontal="center" wrapText="1"/>
    </xf>
    <xf numFmtId="0" fontId="15" fillId="0" borderId="7" xfId="0" applyFont="1" applyBorder="1"/>
    <xf numFmtId="0" fontId="0" fillId="0" borderId="8" xfId="0" applyBorder="1"/>
    <xf numFmtId="0" fontId="5" fillId="8" borderId="3" xfId="0" applyFont="1" applyFill="1" applyBorder="1"/>
    <xf numFmtId="0" fontId="0" fillId="8" borderId="4" xfId="0" applyFill="1" applyBorder="1"/>
    <xf numFmtId="0" fontId="0" fillId="8" borderId="14" xfId="0" applyFill="1" applyBorder="1"/>
    <xf numFmtId="0" fontId="5" fillId="8" borderId="7" xfId="0" applyFont="1" applyFill="1" applyBorder="1"/>
    <xf numFmtId="0" fontId="5" fillId="8" borderId="9" xfId="0" applyFont="1" applyFill="1" applyBorder="1"/>
    <xf numFmtId="0" fontId="0" fillId="8" borderId="8" xfId="0" applyFill="1" applyBorder="1"/>
    <xf numFmtId="0" fontId="0" fillId="8" borderId="11" xfId="0" applyFill="1" applyBorder="1"/>
    <xf numFmtId="0" fontId="0" fillId="8" borderId="10" xfId="0" applyFill="1" applyBorder="1"/>
    <xf numFmtId="9" fontId="0" fillId="8" borderId="10" xfId="0" applyNumberFormat="1" applyFill="1" applyBorder="1"/>
    <xf numFmtId="0" fontId="8" fillId="5" borderId="3" xfId="0" applyFont="1" applyFill="1" applyBorder="1"/>
    <xf numFmtId="0" fontId="5" fillId="5" borderId="4" xfId="0" applyFont="1" applyFill="1" applyBorder="1"/>
    <xf numFmtId="0" fontId="5" fillId="5" borderId="14" xfId="0" applyFont="1" applyFill="1" applyBorder="1"/>
    <xf numFmtId="0" fontId="21" fillId="9" borderId="0" xfId="0" applyFont="1" applyFill="1"/>
    <xf numFmtId="0" fontId="11" fillId="9" borderId="0" xfId="0" applyFont="1" applyFill="1"/>
    <xf numFmtId="168" fontId="0" fillId="0" borderId="8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8" fillId="7" borderId="7" xfId="0" applyFont="1" applyFill="1" applyBorder="1"/>
    <xf numFmtId="167" fontId="8" fillId="7" borderId="13" xfId="0" applyNumberFormat="1" applyFont="1" applyFill="1" applyBorder="1" applyAlignment="1">
      <alignment horizontal="right"/>
    </xf>
    <xf numFmtId="0" fontId="8" fillId="7" borderId="9" xfId="0" applyFont="1" applyFill="1" applyBorder="1"/>
    <xf numFmtId="9" fontId="8" fillId="7" borderId="13" xfId="2" applyFont="1" applyFill="1" applyBorder="1" applyAlignment="1">
      <alignment horizontal="right"/>
    </xf>
    <xf numFmtId="168" fontId="8" fillId="7" borderId="13" xfId="0" applyNumberFormat="1" applyFont="1" applyFill="1" applyBorder="1" applyAlignment="1">
      <alignment horizontal="right"/>
    </xf>
    <xf numFmtId="0" fontId="24" fillId="0" borderId="0" xfId="0" applyFont="1"/>
    <xf numFmtId="0" fontId="25" fillId="0" borderId="0" xfId="0" applyFont="1"/>
    <xf numFmtId="0" fontId="27" fillId="0" borderId="0" xfId="0" applyFont="1"/>
    <xf numFmtId="0" fontId="27" fillId="0" borderId="0" xfId="3" applyFo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490537</xdr:colOff>
      <xdr:row>3</xdr:row>
      <xdr:rowOff>56921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838325" cy="656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38325" cy="65699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838325" cy="65699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38325" cy="65699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838325" cy="6569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service@kinnin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5"/>
  <sheetViews>
    <sheetView showGridLines="0" tabSelected="1" zoomScale="90" zoomScaleNormal="90" workbookViewId="0">
      <selection activeCell="N4" sqref="N4"/>
    </sheetView>
  </sheetViews>
  <sheetFormatPr defaultRowHeight="15" x14ac:dyDescent="0.25"/>
  <cols>
    <col min="1" max="1" width="1.85546875" customWidth="1"/>
    <col min="2" max="2" width="20.140625" customWidth="1"/>
    <col min="3" max="4" width="9.7109375" customWidth="1"/>
    <col min="5" max="6" width="18.7109375" customWidth="1"/>
    <col min="7" max="7" width="11.7109375" customWidth="1"/>
    <col min="8" max="8" width="16.42578125" customWidth="1"/>
    <col min="9" max="9" width="12.5703125" customWidth="1"/>
    <col min="10" max="10" width="16.7109375" customWidth="1"/>
    <col min="11" max="11" width="9.7109375" customWidth="1"/>
    <col min="12" max="12" width="28.7109375" customWidth="1"/>
    <col min="13" max="14" width="13.7109375" customWidth="1"/>
    <col min="15" max="15" width="22.140625" customWidth="1"/>
    <col min="16" max="16" width="9.7109375" customWidth="1"/>
    <col min="17" max="17" width="11.7109375" customWidth="1"/>
    <col min="18" max="18" width="16.42578125" customWidth="1"/>
    <col min="19" max="19" width="11.42578125" customWidth="1"/>
  </cols>
  <sheetData>
    <row r="1" spans="2:19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64"/>
      <c r="O1" s="1"/>
      <c r="P1" s="1"/>
      <c r="Q1" s="1"/>
      <c r="R1" s="1"/>
      <c r="S1" s="1"/>
    </row>
    <row r="2" spans="2:19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65" t="s">
        <v>147</v>
      </c>
      <c r="O2" s="1"/>
      <c r="P2" s="1"/>
      <c r="Q2" s="1"/>
      <c r="R2" s="1"/>
      <c r="S2" s="1"/>
    </row>
    <row r="3" spans="2:19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64" t="s">
        <v>148</v>
      </c>
      <c r="O3" s="1"/>
      <c r="P3" s="1"/>
      <c r="Q3" s="1"/>
      <c r="R3" s="1"/>
      <c r="S3" s="1"/>
    </row>
    <row r="4" spans="2:19" ht="10.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8.75" x14ac:dyDescent="0.3">
      <c r="B5" s="86" t="s">
        <v>80</v>
      </c>
      <c r="C5" s="1"/>
      <c r="D5" s="1"/>
      <c r="E5" s="1"/>
      <c r="F5" s="1"/>
      <c r="H5" s="152" t="s">
        <v>133</v>
      </c>
      <c r="I5" s="153"/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ht="5.0999999999999996" customHeight="1" x14ac:dyDescent="0.25"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15.75" x14ac:dyDescent="0.25">
      <c r="B7" s="3" t="s">
        <v>67</v>
      </c>
      <c r="C7" s="4"/>
      <c r="D7" s="4"/>
      <c r="E7" s="4"/>
      <c r="F7" s="4"/>
      <c r="G7" s="4"/>
      <c r="H7" s="4"/>
      <c r="I7" s="4"/>
      <c r="J7" s="5"/>
      <c r="K7" s="5"/>
      <c r="L7" s="1"/>
      <c r="M7" s="1"/>
      <c r="N7" s="1"/>
      <c r="O7" s="1"/>
      <c r="P7" s="1"/>
      <c r="Q7" s="1"/>
      <c r="R7" s="1"/>
      <c r="S7" s="1"/>
    </row>
    <row r="8" spans="2:19" ht="15.75" x14ac:dyDescent="0.25">
      <c r="B8" s="4" t="s">
        <v>111</v>
      </c>
      <c r="C8" s="13" t="s">
        <v>56</v>
      </c>
      <c r="D8" s="13"/>
      <c r="E8" s="13"/>
      <c r="F8" s="13"/>
      <c r="G8" s="13"/>
      <c r="H8" s="87">
        <v>50</v>
      </c>
      <c r="I8" s="15" t="s">
        <v>95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2:19" ht="15.75" x14ac:dyDescent="0.25">
      <c r="B9" s="16" t="s">
        <v>121</v>
      </c>
      <c r="C9" s="13" t="s">
        <v>57</v>
      </c>
      <c r="D9" s="13"/>
      <c r="E9" s="13"/>
      <c r="F9" s="13"/>
      <c r="G9" s="13"/>
      <c r="H9" s="88">
        <v>11</v>
      </c>
      <c r="I9" s="18" t="s">
        <v>95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2:19" ht="15.75" x14ac:dyDescent="0.25">
      <c r="B10" s="16" t="s">
        <v>121</v>
      </c>
      <c r="C10" s="13" t="s">
        <v>122</v>
      </c>
      <c r="D10" s="13"/>
      <c r="E10" s="13"/>
      <c r="F10" s="13"/>
      <c r="G10" s="13"/>
      <c r="H10" s="87">
        <v>1</v>
      </c>
      <c r="I10" s="18" t="s">
        <v>95</v>
      </c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6.5" thickBot="1" x14ac:dyDescent="0.3">
      <c r="B11" s="16" t="s">
        <v>121</v>
      </c>
      <c r="C11" s="13" t="s">
        <v>123</v>
      </c>
      <c r="D11" s="13"/>
      <c r="E11" s="13"/>
      <c r="F11" s="13"/>
      <c r="G11" s="13"/>
      <c r="H11" s="87">
        <v>1</v>
      </c>
      <c r="I11" s="18" t="s">
        <v>95</v>
      </c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37.5" customHeight="1" thickBot="1" x14ac:dyDescent="0.3">
      <c r="B12" s="1"/>
      <c r="C12" s="1"/>
      <c r="D12" s="1"/>
      <c r="E12" s="19"/>
      <c r="F12" s="19"/>
      <c r="G12" s="22"/>
      <c r="H12" s="23"/>
      <c r="I12" s="24"/>
      <c r="J12" s="1"/>
      <c r="K12" s="140"/>
      <c r="L12" s="141"/>
      <c r="M12" s="141"/>
      <c r="N12" s="141"/>
      <c r="O12" s="141"/>
      <c r="P12" s="142"/>
    </row>
    <row r="13" spans="2:19" ht="15.75" x14ac:dyDescent="0.25">
      <c r="B13" s="90" t="s">
        <v>114</v>
      </c>
      <c r="C13" s="91"/>
      <c r="D13" s="91"/>
      <c r="E13" s="91"/>
      <c r="F13" s="91"/>
      <c r="G13" s="91"/>
      <c r="H13" s="125" t="s">
        <v>77</v>
      </c>
      <c r="I13" s="126"/>
      <c r="J13" s="1"/>
      <c r="K13" s="143"/>
      <c r="L13" s="149" t="s">
        <v>134</v>
      </c>
      <c r="M13" s="150"/>
      <c r="N13" s="150"/>
      <c r="O13" s="151"/>
      <c r="P13" s="145"/>
    </row>
    <row r="14" spans="2:19" ht="38.1" customHeight="1" x14ac:dyDescent="0.25">
      <c r="B14" s="92"/>
      <c r="C14" s="94" t="s">
        <v>69</v>
      </c>
      <c r="D14" s="93"/>
      <c r="E14" s="120" t="s">
        <v>117</v>
      </c>
      <c r="F14" s="120" t="s">
        <v>118</v>
      </c>
      <c r="G14" s="93"/>
      <c r="H14" s="120" t="s">
        <v>120</v>
      </c>
      <c r="I14" s="121" t="s">
        <v>119</v>
      </c>
      <c r="J14" s="1"/>
      <c r="K14" s="143"/>
      <c r="L14" s="136"/>
      <c r="M14" s="120" t="s">
        <v>120</v>
      </c>
      <c r="N14" s="120" t="s">
        <v>119</v>
      </c>
      <c r="O14" s="137" t="s">
        <v>137</v>
      </c>
      <c r="P14" s="145"/>
    </row>
    <row r="15" spans="2:19" ht="15.75" x14ac:dyDescent="0.25">
      <c r="B15" s="95" t="s">
        <v>68</v>
      </c>
      <c r="C15" s="96" t="s">
        <v>60</v>
      </c>
      <c r="D15" s="96"/>
      <c r="E15" s="97">
        <f>IF(H10=1, Feeding!E14,"NA")</f>
        <v>3.75</v>
      </c>
      <c r="F15" s="98">
        <f>IF(H10=1, Feeding!F14,"NA")</f>
        <v>16881.25</v>
      </c>
      <c r="G15" s="99"/>
      <c r="H15" s="124">
        <f>IF(H10=1, Feeding!H14,"NA")</f>
        <v>7190.3998900000006</v>
      </c>
      <c r="I15" s="100">
        <f>IF(H10=1, Feeding!I14,"NA")</f>
        <v>0.4259400156978897</v>
      </c>
      <c r="J15" s="1"/>
      <c r="K15" s="143"/>
      <c r="L15" s="138" t="s">
        <v>139</v>
      </c>
      <c r="M15" s="127"/>
      <c r="N15" s="127"/>
      <c r="O15" s="139"/>
      <c r="P15" s="145"/>
    </row>
    <row r="16" spans="2:19" ht="15.75" x14ac:dyDescent="0.25">
      <c r="B16" s="101"/>
      <c r="C16" s="96" t="s">
        <v>61</v>
      </c>
      <c r="D16" s="96"/>
      <c r="E16" s="97">
        <f>IF(H10=1, Feeding!E15, "NA")</f>
        <v>3.5</v>
      </c>
      <c r="F16" s="98">
        <f>IF(H10=1, Feeding!F15,"NA")</f>
        <v>16011.800879999997</v>
      </c>
      <c r="G16" s="99"/>
      <c r="H16" s="124">
        <f>IF(H10=1, Feeding!H15,"NA")</f>
        <v>6320.9507699999976</v>
      </c>
      <c r="I16" s="100">
        <f>IF(H10=1, Feeding!I15,"NA")</f>
        <v>0.39476825982112757</v>
      </c>
      <c r="J16" s="1"/>
      <c r="K16" s="143"/>
      <c r="L16" s="136" t="s">
        <v>135</v>
      </c>
      <c r="M16" s="155">
        <f>IF(H10=1, H15,"NA")</f>
        <v>7190.3998900000006</v>
      </c>
      <c r="N16" s="156">
        <f>IF(H10=1,I15,"NA")</f>
        <v>0.4259400156978897</v>
      </c>
      <c r="O16" s="154">
        <f>+I19</f>
        <v>62.532596500693366</v>
      </c>
      <c r="P16" s="145"/>
    </row>
    <row r="17" spans="2:19" ht="15.75" x14ac:dyDescent="0.25">
      <c r="B17" s="101"/>
      <c r="C17" s="96" t="s">
        <v>79</v>
      </c>
      <c r="D17" s="96"/>
      <c r="E17" s="97">
        <f>IF(H10=1, Feeding!E16, "NA")</f>
        <v>0.10416666666666667</v>
      </c>
      <c r="F17" s="98">
        <f>IF(H10=1, Feeding!F16,"NA")</f>
        <v>9690.8501099999994</v>
      </c>
      <c r="G17" s="99"/>
      <c r="H17" s="102"/>
      <c r="I17" s="103"/>
      <c r="J17" s="1"/>
      <c r="K17" s="143"/>
      <c r="L17" s="136" t="s">
        <v>136</v>
      </c>
      <c r="M17" s="155">
        <f>+H26</f>
        <v>2743.2878849999988</v>
      </c>
      <c r="N17" s="156">
        <f>IF(H11=1,(M17/F26),"NA")</f>
        <v>0.34265825631476365</v>
      </c>
      <c r="O17" s="154">
        <f>+I30</f>
        <v>56.131321777043489</v>
      </c>
      <c r="P17" s="145"/>
    </row>
    <row r="18" spans="2:19" ht="16.5" thickBot="1" x14ac:dyDescent="0.3">
      <c r="B18" s="104"/>
      <c r="C18" s="105"/>
      <c r="D18" s="105"/>
      <c r="E18" s="106"/>
      <c r="F18" s="107"/>
      <c r="G18" s="99"/>
      <c r="H18" s="99"/>
      <c r="I18" s="103"/>
      <c r="J18" s="1"/>
      <c r="K18" s="143"/>
      <c r="L18" s="157" t="s">
        <v>141</v>
      </c>
      <c r="M18" s="158">
        <f>IF(M16="NA","NA",(IF(M17="NA","NA",(M16+M17))))</f>
        <v>9933.6877749999985</v>
      </c>
      <c r="N18" s="160">
        <f>IF(N16="NA","NA",(IF(N17="NA","NA",(M18/(F15+F26)))))</f>
        <v>0.39914926375154741</v>
      </c>
      <c r="O18" s="161">
        <f>IF(O16="NA","NA",(IF(O17="NA","NA",((Feeding!J115+Hydration!J115)/(Feeding!J118+Hydration!J119)))))</f>
        <v>60.764820041870109</v>
      </c>
      <c r="P18" s="145"/>
    </row>
    <row r="19" spans="2:19" ht="16.5" thickTop="1" x14ac:dyDescent="0.25">
      <c r="B19" s="104"/>
      <c r="C19" s="105"/>
      <c r="D19" s="105"/>
      <c r="E19" s="108"/>
      <c r="F19" s="109" t="s">
        <v>110</v>
      </c>
      <c r="G19" s="93" t="s">
        <v>94</v>
      </c>
      <c r="H19" s="99" t="s">
        <v>60</v>
      </c>
      <c r="I19" s="110">
        <f>IF(H10=1, Feeding!I18,"NA")</f>
        <v>62.532596500693366</v>
      </c>
      <c r="J19" s="1"/>
      <c r="K19" s="143"/>
      <c r="L19" s="136"/>
      <c r="M19" s="127"/>
      <c r="N19" s="127"/>
      <c r="O19" s="139"/>
      <c r="P19" s="145"/>
    </row>
    <row r="20" spans="2:19" ht="16.5" thickBot="1" x14ac:dyDescent="0.3">
      <c r="B20" s="111"/>
      <c r="C20" s="112"/>
      <c r="D20" s="112"/>
      <c r="E20" s="113"/>
      <c r="F20" s="114"/>
      <c r="G20" s="115" t="s">
        <v>94</v>
      </c>
      <c r="H20" s="116" t="s">
        <v>116</v>
      </c>
      <c r="I20" s="117">
        <f>IF(H10=1, Feeding!I19,"NA")</f>
        <v>71.133978314468067</v>
      </c>
      <c r="J20" s="1"/>
      <c r="K20" s="143"/>
      <c r="L20" s="136"/>
      <c r="M20" s="127"/>
      <c r="N20" s="127"/>
      <c r="O20" s="139"/>
      <c r="P20" s="145"/>
    </row>
    <row r="21" spans="2:19" ht="15.75" x14ac:dyDescent="0.25">
      <c r="B21" s="105"/>
      <c r="C21" s="105"/>
      <c r="D21" s="105"/>
      <c r="E21" s="106"/>
      <c r="F21" s="134"/>
      <c r="G21" s="93"/>
      <c r="H21" s="99"/>
      <c r="I21" s="135"/>
      <c r="J21" s="1"/>
      <c r="K21" s="143"/>
      <c r="L21" s="138" t="s">
        <v>138</v>
      </c>
      <c r="M21" s="127"/>
      <c r="N21" s="127"/>
      <c r="O21" s="139"/>
      <c r="P21" s="145"/>
    </row>
    <row r="22" spans="2:19" ht="15.75" x14ac:dyDescent="0.25">
      <c r="B22" s="6"/>
      <c r="C22" s="6"/>
      <c r="D22" s="6"/>
      <c r="E22" s="7"/>
      <c r="F22" s="28"/>
      <c r="G22" s="1"/>
      <c r="H22" s="22"/>
      <c r="I22" s="31"/>
      <c r="J22" s="1"/>
      <c r="K22" s="143"/>
      <c r="L22" s="136" t="s">
        <v>140</v>
      </c>
      <c r="M22" s="155">
        <f>+H16</f>
        <v>6320.9507699999976</v>
      </c>
      <c r="N22" s="156">
        <f>IF(H10=1,I16,"NA")</f>
        <v>0.39476825982112757</v>
      </c>
      <c r="O22" s="154">
        <f>+I20</f>
        <v>71.133978314468067</v>
      </c>
      <c r="P22" s="145"/>
    </row>
    <row r="23" spans="2:19" ht="16.5" thickBot="1" x14ac:dyDescent="0.3">
      <c r="B23" s="6"/>
      <c r="C23" s="6"/>
      <c r="D23" s="6"/>
      <c r="E23" s="7"/>
      <c r="F23" s="28"/>
      <c r="G23" s="1"/>
      <c r="H23" s="22"/>
      <c r="I23" s="31"/>
      <c r="J23" s="1"/>
      <c r="K23" s="143"/>
      <c r="L23" s="136" t="s">
        <v>136</v>
      </c>
      <c r="M23" s="155">
        <f>+H26</f>
        <v>2743.2878849999988</v>
      </c>
      <c r="N23" s="156">
        <f>IF(H11=1,(M23/F26),"NA")</f>
        <v>0.34265825631476365</v>
      </c>
      <c r="O23" s="154">
        <f>+I30</f>
        <v>56.131321777043489</v>
      </c>
      <c r="P23" s="145"/>
    </row>
    <row r="24" spans="2:19" ht="16.5" thickBot="1" x14ac:dyDescent="0.3">
      <c r="B24" s="90" t="s">
        <v>115</v>
      </c>
      <c r="C24" s="91"/>
      <c r="D24" s="91"/>
      <c r="E24" s="91"/>
      <c r="F24" s="91"/>
      <c r="G24" s="91"/>
      <c r="H24" s="125" t="s">
        <v>77</v>
      </c>
      <c r="I24" s="126"/>
      <c r="J24" s="1"/>
      <c r="K24" s="143"/>
      <c r="L24" s="159" t="s">
        <v>141</v>
      </c>
      <c r="M24" s="158">
        <f>IF(M22="NA","NA",(IF(M23="NA","NA",(M22+M23))))</f>
        <v>9064.2386549999974</v>
      </c>
      <c r="N24" s="160">
        <f>IF(N22="NA","NA",(IF(N23="NA","NA",(M24/(F16+F26)))))</f>
        <v>0.37739825865233961</v>
      </c>
      <c r="O24" s="161">
        <f>IF(O22="NA","NA",(IF(O23="NA","NA",((Feeding!J115+Hydration!J115)/(Feeding!J119+Hydration!J119)))))</f>
        <v>66.593430841213902</v>
      </c>
      <c r="P24" s="145"/>
    </row>
    <row r="25" spans="2:19" ht="38.1" customHeight="1" thickBot="1" x14ac:dyDescent="0.3">
      <c r="B25" s="92"/>
      <c r="C25" s="94" t="s">
        <v>69</v>
      </c>
      <c r="D25" s="93"/>
      <c r="E25" s="120" t="s">
        <v>117</v>
      </c>
      <c r="F25" s="120" t="s">
        <v>118</v>
      </c>
      <c r="G25" s="93"/>
      <c r="H25" s="120" t="s">
        <v>120</v>
      </c>
      <c r="I25" s="121" t="s">
        <v>119</v>
      </c>
      <c r="J25" s="1"/>
      <c r="K25" s="144"/>
      <c r="L25" s="147"/>
      <c r="M25" s="147"/>
      <c r="N25" s="148"/>
      <c r="O25" s="147"/>
      <c r="P25" s="146"/>
    </row>
    <row r="26" spans="2:19" ht="15.75" x14ac:dyDescent="0.25">
      <c r="B26" s="95" t="s">
        <v>68</v>
      </c>
      <c r="C26" s="96" t="s">
        <v>61</v>
      </c>
      <c r="D26" s="96"/>
      <c r="E26" s="97">
        <f>IF(H11=1, Hydration!E15, "NA")</f>
        <v>1.75</v>
      </c>
      <c r="F26" s="98">
        <f>IF(H11=1, Hydration!F15,"NA")</f>
        <v>8005.9004399999985</v>
      </c>
      <c r="G26" s="99"/>
      <c r="H26" s="124">
        <f>IF(H11=1, Hydration!H15,"NA")</f>
        <v>2743.2878849999988</v>
      </c>
      <c r="I26" s="100">
        <f>IF(H11=1, Hydration!I15,"NA")</f>
        <v>0.34265825631476365</v>
      </c>
      <c r="J26" s="1"/>
      <c r="K26" s="163" t="s">
        <v>145</v>
      </c>
    </row>
    <row r="27" spans="2:19" ht="15.75" x14ac:dyDescent="0.25">
      <c r="B27" s="101"/>
      <c r="C27" s="96" t="s">
        <v>79</v>
      </c>
      <c r="D27" s="96"/>
      <c r="E27" s="97">
        <f>IF(H11=1, Hydration!E16, "NA")</f>
        <v>0.10416666666666667</v>
      </c>
      <c r="F27" s="98">
        <f>IF(H11=1, Hydration!F16,"NA")</f>
        <v>5262.6125549999997</v>
      </c>
      <c r="G27" s="99"/>
      <c r="H27" s="99"/>
      <c r="I27" s="103"/>
      <c r="J27" s="1"/>
      <c r="K27" s="162" t="s">
        <v>146</v>
      </c>
    </row>
    <row r="28" spans="2:19" ht="15.75" x14ac:dyDescent="0.25">
      <c r="B28" s="104"/>
      <c r="C28" s="105"/>
      <c r="D28" s="105"/>
      <c r="E28" s="106"/>
      <c r="F28" s="107"/>
      <c r="G28" s="99"/>
      <c r="H28" s="99"/>
      <c r="I28" s="103"/>
      <c r="J28" s="1"/>
      <c r="K28" s="162" t="s">
        <v>144</v>
      </c>
    </row>
    <row r="29" spans="2:19" ht="15.75" x14ac:dyDescent="0.25">
      <c r="B29" s="104"/>
      <c r="C29" s="105"/>
      <c r="D29" s="105"/>
      <c r="E29" s="106"/>
      <c r="F29" s="107"/>
      <c r="G29" s="99"/>
      <c r="H29" s="99"/>
      <c r="I29" s="103"/>
      <c r="J29" s="1"/>
      <c r="K29" s="162" t="s">
        <v>143</v>
      </c>
    </row>
    <row r="30" spans="2:19" ht="16.5" thickBot="1" x14ac:dyDescent="0.3">
      <c r="B30" s="111"/>
      <c r="C30" s="112"/>
      <c r="D30" s="112"/>
      <c r="E30" s="118"/>
      <c r="F30" s="119" t="s">
        <v>110</v>
      </c>
      <c r="G30" s="115" t="s">
        <v>94</v>
      </c>
      <c r="H30" s="116" t="s">
        <v>116</v>
      </c>
      <c r="I30" s="117">
        <f>IF(H11=1, Hydration!I19,"NA")</f>
        <v>56.131321777043489</v>
      </c>
      <c r="J30" s="1"/>
      <c r="K30" s="162" t="s">
        <v>142</v>
      </c>
    </row>
    <row r="31" spans="2:19" ht="15.75" x14ac:dyDescent="0.25">
      <c r="B31" s="6"/>
      <c r="C31" s="6"/>
      <c r="D31" s="6"/>
      <c r="E31" s="7"/>
      <c r="F31" s="8"/>
      <c r="G31" s="22"/>
      <c r="H31" s="22"/>
      <c r="I31" s="1"/>
      <c r="J31" s="1"/>
      <c r="K31" s="1"/>
    </row>
    <row r="32" spans="2:19" ht="15.75" x14ac:dyDescent="0.25">
      <c r="B32" s="6"/>
      <c r="C32" s="6"/>
      <c r="D32" s="6"/>
      <c r="E32" s="7"/>
      <c r="F32" s="8"/>
      <c r="G32" s="22"/>
      <c r="H32" s="2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6.5" hidden="1" thickBot="1" x14ac:dyDescent="0.3">
      <c r="B33" s="1"/>
      <c r="C33" s="1"/>
      <c r="D33" s="1"/>
      <c r="E33" s="19"/>
      <c r="F33" s="19"/>
      <c r="G33" s="22"/>
      <c r="H33" s="23"/>
      <c r="I33" s="24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15.75" hidden="1" x14ac:dyDescent="0.25">
      <c r="B34" s="90" t="s">
        <v>132</v>
      </c>
      <c r="C34" s="91"/>
      <c r="D34" s="91"/>
      <c r="E34" s="91"/>
      <c r="F34" s="91"/>
      <c r="G34" s="91"/>
      <c r="H34" s="125" t="s">
        <v>77</v>
      </c>
      <c r="I34" s="126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47.25" hidden="1" x14ac:dyDescent="0.25">
      <c r="B35" s="92"/>
      <c r="C35" s="94" t="s">
        <v>69</v>
      </c>
      <c r="D35" s="93"/>
      <c r="E35" s="120" t="s">
        <v>117</v>
      </c>
      <c r="F35" s="120" t="s">
        <v>118</v>
      </c>
      <c r="G35" s="93"/>
      <c r="H35" s="120" t="s">
        <v>120</v>
      </c>
      <c r="I35" s="121" t="s">
        <v>119</v>
      </c>
      <c r="J35" s="1"/>
      <c r="K35" s="1"/>
      <c r="L35" s="1"/>
      <c r="M35" s="1"/>
      <c r="N35" s="1"/>
      <c r="O35" s="1"/>
      <c r="P35" s="1"/>
      <c r="Q35" s="1"/>
      <c r="R35" s="33"/>
      <c r="S35" s="1"/>
    </row>
    <row r="36" spans="2:19" ht="15.75" hidden="1" x14ac:dyDescent="0.25">
      <c r="B36" s="101" t="s">
        <v>129</v>
      </c>
      <c r="C36" s="133" t="s">
        <v>60</v>
      </c>
      <c r="D36" s="96"/>
      <c r="E36" s="97">
        <f>+E15</f>
        <v>3.75</v>
      </c>
      <c r="F36" s="98">
        <f>+F15</f>
        <v>16881.25</v>
      </c>
      <c r="G36" s="99"/>
      <c r="H36" s="99"/>
      <c r="I36" s="103"/>
      <c r="J36" s="1"/>
      <c r="K36" s="1"/>
      <c r="L36" s="1"/>
      <c r="M36" s="1"/>
      <c r="N36" s="1"/>
      <c r="O36" s="1"/>
      <c r="P36" s="1"/>
      <c r="Q36" s="1"/>
      <c r="R36" s="33"/>
      <c r="S36" s="1"/>
    </row>
    <row r="37" spans="2:19" ht="15.75" hidden="1" x14ac:dyDescent="0.25">
      <c r="B37" s="101" t="s">
        <v>130</v>
      </c>
      <c r="C37" s="96" t="s">
        <v>61</v>
      </c>
      <c r="D37" s="96"/>
      <c r="E37" s="97">
        <f>+E26</f>
        <v>1.75</v>
      </c>
      <c r="F37" s="98">
        <f>+F26</f>
        <v>8005.9004399999985</v>
      </c>
      <c r="G37" s="99"/>
      <c r="H37" s="99"/>
      <c r="I37" s="103"/>
      <c r="J37" s="1"/>
      <c r="K37" s="1"/>
      <c r="L37" s="1"/>
      <c r="M37" s="36"/>
      <c r="N37" s="1"/>
      <c r="O37" s="1"/>
      <c r="P37" s="1"/>
      <c r="Q37" s="1"/>
      <c r="R37" s="1"/>
      <c r="S37" s="1"/>
    </row>
    <row r="38" spans="2:19" ht="16.5" hidden="1" thickBot="1" x14ac:dyDescent="0.3">
      <c r="B38" s="101"/>
      <c r="C38" s="96"/>
      <c r="D38" s="96"/>
      <c r="E38" s="123">
        <f>+E36+E37</f>
        <v>5.5</v>
      </c>
      <c r="F38" s="122">
        <f>+F36+F37</f>
        <v>24887.150439999998</v>
      </c>
      <c r="H38" s="124">
        <f>+F38-F40</f>
        <v>9933.6877749999985</v>
      </c>
      <c r="I38" s="100">
        <f>+H38/F38</f>
        <v>0.39914926375154741</v>
      </c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6.5" hidden="1" thickTop="1" x14ac:dyDescent="0.25">
      <c r="B39" s="104"/>
      <c r="C39" s="105"/>
      <c r="D39" s="105"/>
      <c r="E39" s="106"/>
      <c r="F39" s="107"/>
      <c r="G39" s="99"/>
      <c r="H39" s="99"/>
      <c r="I39" s="103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5.75" hidden="1" x14ac:dyDescent="0.25">
      <c r="B40" s="101" t="s">
        <v>131</v>
      </c>
      <c r="C40" s="96" t="s">
        <v>79</v>
      </c>
      <c r="D40" s="96"/>
      <c r="E40" s="97">
        <f>+E17+E27</f>
        <v>0.20833333333333334</v>
      </c>
      <c r="F40" s="98">
        <f>+F17+F27</f>
        <v>14953.462664999999</v>
      </c>
      <c r="G40" s="99"/>
      <c r="H40" s="99"/>
      <c r="I40" s="103"/>
      <c r="J40" s="1"/>
      <c r="K40" s="1"/>
      <c r="L40" s="1"/>
      <c r="M40" s="1"/>
      <c r="N40" s="1"/>
      <c r="O40" s="1"/>
      <c r="P40" s="1"/>
      <c r="Q40" s="1"/>
      <c r="R40" s="35"/>
      <c r="S40" s="1"/>
    </row>
    <row r="41" spans="2:19" ht="16.5" hidden="1" thickBot="1" x14ac:dyDescent="0.3">
      <c r="B41" s="111"/>
      <c r="C41" s="112"/>
      <c r="D41" s="112"/>
      <c r="E41" s="113"/>
      <c r="F41" s="114"/>
      <c r="G41" s="115"/>
      <c r="H41" s="116"/>
      <c r="I41" s="117"/>
      <c r="J41" s="1"/>
      <c r="K41" s="1"/>
      <c r="L41" s="1"/>
      <c r="M41" s="1"/>
      <c r="N41" s="1"/>
      <c r="O41" s="1"/>
      <c r="P41" s="1"/>
      <c r="Q41" s="1"/>
      <c r="R41" s="35"/>
      <c r="S41" s="1"/>
    </row>
    <row r="42" spans="2:19" ht="15.75" hidden="1" x14ac:dyDescent="0.25">
      <c r="B42" s="6"/>
      <c r="C42" s="6"/>
      <c r="D42" s="6"/>
      <c r="E42" s="7"/>
      <c r="F42" s="28"/>
      <c r="G42" s="1"/>
      <c r="H42" s="22"/>
      <c r="I42" s="31"/>
      <c r="J42" s="1"/>
      <c r="K42" s="1"/>
      <c r="L42" s="1"/>
      <c r="M42" s="1"/>
      <c r="N42" s="1"/>
      <c r="O42" s="1"/>
      <c r="P42" s="1"/>
      <c r="Q42" s="1"/>
      <c r="R42" s="37"/>
      <c r="S42" s="1"/>
    </row>
    <row r="43" spans="2:19" ht="16.5" hidden="1" thickBot="1" x14ac:dyDescent="0.3">
      <c r="B43" s="6"/>
      <c r="C43" s="6"/>
      <c r="D43" s="6"/>
      <c r="E43" s="7"/>
      <c r="F43" s="28"/>
      <c r="G43" s="1"/>
      <c r="H43" s="22"/>
      <c r="I43" s="31"/>
      <c r="J43" s="1"/>
      <c r="K43" s="1"/>
      <c r="L43" s="1"/>
      <c r="M43" s="36"/>
      <c r="N43" s="1"/>
      <c r="O43" s="1"/>
      <c r="P43" s="1"/>
      <c r="Q43" s="1"/>
      <c r="R43" s="38"/>
      <c r="S43" s="1"/>
    </row>
    <row r="44" spans="2:19" ht="15.75" hidden="1" x14ac:dyDescent="0.25">
      <c r="B44" s="90" t="s">
        <v>132</v>
      </c>
      <c r="C44" s="91"/>
      <c r="D44" s="91"/>
      <c r="E44" s="91"/>
      <c r="F44" s="91"/>
      <c r="G44" s="91"/>
      <c r="H44" s="125" t="s">
        <v>77</v>
      </c>
      <c r="I44" s="126"/>
      <c r="J44" s="1"/>
      <c r="K44" s="1"/>
      <c r="L44" s="1"/>
      <c r="M44" s="1"/>
      <c r="N44" s="1"/>
      <c r="O44" s="1"/>
      <c r="P44" s="1"/>
      <c r="Q44" s="1"/>
      <c r="R44" s="38"/>
      <c r="S44" s="1"/>
    </row>
    <row r="45" spans="2:19" ht="47.25" hidden="1" x14ac:dyDescent="0.25">
      <c r="B45" s="92"/>
      <c r="C45" s="94" t="s">
        <v>69</v>
      </c>
      <c r="D45" s="93"/>
      <c r="E45" s="120" t="s">
        <v>117</v>
      </c>
      <c r="F45" s="120" t="s">
        <v>118</v>
      </c>
      <c r="G45" s="93"/>
      <c r="H45" s="120" t="s">
        <v>120</v>
      </c>
      <c r="I45" s="121" t="s">
        <v>119</v>
      </c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 ht="15.75" hidden="1" x14ac:dyDescent="0.25">
      <c r="B46" s="101" t="s">
        <v>129</v>
      </c>
      <c r="C46" s="133" t="s">
        <v>61</v>
      </c>
      <c r="D46" s="96"/>
      <c r="E46" s="97">
        <f>+E16</f>
        <v>3.5</v>
      </c>
      <c r="F46" s="98">
        <f>+F16</f>
        <v>16011.800879999997</v>
      </c>
      <c r="G46" s="99"/>
      <c r="H46" s="99"/>
      <c r="I46" s="103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5.75" hidden="1" x14ac:dyDescent="0.25">
      <c r="B47" s="101" t="s">
        <v>130</v>
      </c>
      <c r="C47" s="96" t="s">
        <v>61</v>
      </c>
      <c r="D47" s="96"/>
      <c r="E47" s="97">
        <f>+E26</f>
        <v>1.75</v>
      </c>
      <c r="F47" s="98">
        <f>+F26</f>
        <v>8005.9004399999985</v>
      </c>
      <c r="G47" s="99"/>
      <c r="H47" s="99"/>
      <c r="I47" s="103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6.5" hidden="1" thickBot="1" x14ac:dyDescent="0.3">
      <c r="B48" s="101"/>
      <c r="C48" s="96"/>
      <c r="D48" s="96"/>
      <c r="E48" s="123">
        <f>+E46+E47</f>
        <v>5.25</v>
      </c>
      <c r="F48" s="122">
        <f>+F46+F47</f>
        <v>24017.701319999996</v>
      </c>
      <c r="G48" s="127"/>
      <c r="H48" s="124">
        <f>+F48-F50</f>
        <v>9064.2386549999974</v>
      </c>
      <c r="I48" s="100">
        <f>+H48/F48</f>
        <v>0.37739825865233961</v>
      </c>
      <c r="J48" s="1"/>
      <c r="K48" s="1"/>
      <c r="L48" s="1"/>
      <c r="M48" s="1"/>
      <c r="N48" s="1"/>
      <c r="O48" s="1"/>
      <c r="P48" s="1"/>
      <c r="Q48" s="1"/>
      <c r="R48" s="35"/>
      <c r="S48" s="1"/>
    </row>
    <row r="49" spans="2:19" ht="16.5" hidden="1" thickTop="1" x14ac:dyDescent="0.25">
      <c r="B49" s="104"/>
      <c r="C49" s="105"/>
      <c r="D49" s="105"/>
      <c r="E49" s="106"/>
      <c r="F49" s="107"/>
      <c r="G49" s="127"/>
      <c r="H49" s="107"/>
      <c r="I49" s="128"/>
      <c r="J49" s="1"/>
      <c r="K49" s="1"/>
      <c r="L49" s="1"/>
      <c r="M49" s="1"/>
      <c r="N49" s="1"/>
      <c r="O49" s="1"/>
      <c r="P49" s="1"/>
      <c r="Q49" s="1"/>
      <c r="R49" s="35"/>
      <c r="S49" s="1"/>
    </row>
    <row r="50" spans="2:19" ht="16.5" hidden="1" thickBot="1" x14ac:dyDescent="0.3">
      <c r="B50" s="129" t="s">
        <v>131</v>
      </c>
      <c r="C50" s="130" t="s">
        <v>79</v>
      </c>
      <c r="D50" s="130"/>
      <c r="E50" s="131">
        <f>+E17+E27</f>
        <v>0.20833333333333334</v>
      </c>
      <c r="F50" s="132">
        <f>+F17+F27</f>
        <v>14953.462664999999</v>
      </c>
      <c r="G50" s="116"/>
      <c r="H50" s="116"/>
      <c r="I50" s="117"/>
      <c r="J50" s="1"/>
      <c r="K50" s="1"/>
      <c r="L50" s="1"/>
      <c r="M50" s="36"/>
      <c r="N50" s="1"/>
      <c r="O50" s="1"/>
      <c r="P50" s="1"/>
      <c r="Q50" s="1"/>
      <c r="R50" s="1"/>
      <c r="S50" s="1"/>
    </row>
    <row r="51" spans="2:19" ht="15.75" hidden="1" x14ac:dyDescent="0.25">
      <c r="J51" s="1"/>
      <c r="K51" s="1"/>
      <c r="L51" s="1"/>
      <c r="M51" s="36"/>
      <c r="N51" s="1"/>
      <c r="O51" s="1"/>
      <c r="P51" s="1"/>
      <c r="Q51" s="1"/>
      <c r="R51" s="37"/>
      <c r="S51" s="1"/>
    </row>
    <row r="52" spans="2:19" ht="15.75" x14ac:dyDescent="0.25">
      <c r="B52" s="1"/>
      <c r="C52" s="36"/>
      <c r="D52" s="1"/>
      <c r="E52" s="1"/>
      <c r="F52" s="1"/>
      <c r="G52" s="1"/>
      <c r="H52" s="38"/>
      <c r="I52" s="1"/>
      <c r="J52" s="1"/>
      <c r="K52" s="1"/>
      <c r="L52" s="1"/>
      <c r="M52" s="36"/>
      <c r="N52" s="1"/>
      <c r="O52" s="1"/>
      <c r="P52" s="1"/>
      <c r="Q52" s="1"/>
      <c r="R52" s="38"/>
      <c r="S52" s="1"/>
    </row>
    <row r="53" spans="2:19" ht="15.75" x14ac:dyDescent="0.25">
      <c r="B53" s="1"/>
      <c r="C53" s="36"/>
      <c r="D53" s="1"/>
      <c r="E53" s="1"/>
      <c r="F53" s="1"/>
      <c r="G53" s="1"/>
      <c r="H53" s="1"/>
      <c r="I53" s="1"/>
      <c r="J53" s="1"/>
      <c r="K53" s="1"/>
      <c r="L53" s="1"/>
      <c r="M53" s="36"/>
      <c r="N53" s="1"/>
      <c r="O53" s="1"/>
      <c r="P53" s="1"/>
      <c r="Q53" s="1"/>
      <c r="R53" s="1"/>
      <c r="S53" s="1"/>
    </row>
    <row r="54" spans="2:19" ht="15.75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5.75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ht="15.75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ht="15.75" x14ac:dyDescent="0.25">
      <c r="B57" s="1"/>
      <c r="C57" s="1"/>
      <c r="D57" s="1"/>
      <c r="E57" s="1"/>
      <c r="F57" s="1"/>
      <c r="G57" s="1"/>
      <c r="H57" s="37"/>
      <c r="I57" s="1"/>
      <c r="J57" s="1"/>
      <c r="K57" s="1"/>
      <c r="L57" s="1"/>
      <c r="M57" s="1"/>
      <c r="N57" s="1"/>
      <c r="O57" s="1"/>
      <c r="P57" s="1"/>
      <c r="Q57" s="1"/>
      <c r="R57" s="37"/>
      <c r="S57" s="1"/>
    </row>
    <row r="58" spans="2:19" ht="15.75" x14ac:dyDescent="0.25">
      <c r="B58" s="1"/>
      <c r="C58" s="1"/>
      <c r="D58" s="1"/>
      <c r="E58" s="1"/>
      <c r="F58" s="1"/>
      <c r="G58" s="1"/>
      <c r="H58" s="38"/>
      <c r="I58" s="1"/>
      <c r="J58" s="1"/>
      <c r="K58" s="1"/>
      <c r="L58" s="1"/>
      <c r="M58" s="1"/>
      <c r="N58" s="1"/>
      <c r="O58" s="1"/>
      <c r="P58" s="1"/>
      <c r="Q58" s="1"/>
      <c r="R58" s="38"/>
      <c r="S58" s="1"/>
    </row>
    <row r="59" spans="2:19" ht="15.75" x14ac:dyDescent="0.25">
      <c r="B59" s="1"/>
      <c r="C59" s="1"/>
      <c r="D59" s="1"/>
      <c r="E59" s="1"/>
      <c r="F59" s="1"/>
      <c r="G59" s="1"/>
      <c r="H59" s="38"/>
      <c r="I59" s="1"/>
      <c r="J59" s="1"/>
      <c r="K59" s="1"/>
      <c r="L59" s="1"/>
      <c r="M59" s="1"/>
      <c r="N59" s="1"/>
      <c r="O59" s="1"/>
      <c r="P59" s="1"/>
      <c r="Q59" s="1"/>
      <c r="R59" s="38"/>
      <c r="S59" s="1"/>
    </row>
    <row r="60" spans="2:19" ht="15.75" x14ac:dyDescent="0.25">
      <c r="B60" s="1"/>
      <c r="C60" s="1"/>
      <c r="D60" s="1"/>
      <c r="E60" s="1"/>
      <c r="F60" s="1"/>
      <c r="G60" s="1"/>
      <c r="H60" s="38"/>
      <c r="I60" s="1"/>
      <c r="J60" s="1"/>
      <c r="K60" s="1"/>
      <c r="L60" s="1"/>
      <c r="M60" s="1"/>
      <c r="N60" s="1"/>
      <c r="O60" s="1"/>
      <c r="P60" s="1"/>
      <c r="Q60" s="1"/>
      <c r="R60" s="38"/>
      <c r="S60" s="1"/>
    </row>
    <row r="61" spans="2:19" ht="15.75" x14ac:dyDescent="0.25">
      <c r="B61" s="1"/>
      <c r="C61" s="1"/>
      <c r="D61" s="1"/>
      <c r="E61" s="1"/>
      <c r="F61" s="1"/>
      <c r="G61" s="1"/>
      <c r="H61" s="38"/>
      <c r="I61" s="1"/>
      <c r="J61" s="1"/>
      <c r="K61" s="1"/>
      <c r="L61" s="1"/>
      <c r="M61" s="1"/>
      <c r="N61" s="1"/>
      <c r="O61" s="1"/>
      <c r="P61" s="1"/>
      <c r="Q61" s="1"/>
      <c r="R61" s="38"/>
      <c r="S61" s="1"/>
    </row>
    <row r="62" spans="2:19" ht="15.75" x14ac:dyDescent="0.25">
      <c r="B62" s="1"/>
      <c r="C62" s="36"/>
      <c r="D62" s="1"/>
      <c r="E62" s="1"/>
      <c r="F62" s="1"/>
      <c r="G62" s="1"/>
      <c r="H62" s="38"/>
      <c r="I62" s="1"/>
      <c r="J62" s="1"/>
      <c r="K62" s="1"/>
      <c r="L62" s="1"/>
      <c r="M62" s="36"/>
      <c r="N62" s="1"/>
      <c r="O62" s="1"/>
      <c r="P62" s="1"/>
      <c r="Q62" s="1"/>
      <c r="R62" s="38"/>
      <c r="S62" s="1"/>
    </row>
    <row r="63" spans="2:19" ht="15.75" x14ac:dyDescent="0.25">
      <c r="B63" s="1"/>
      <c r="C63" s="1"/>
      <c r="D63" s="1"/>
      <c r="E63" s="1"/>
      <c r="F63" s="1"/>
      <c r="G63" s="1"/>
      <c r="H63" s="38"/>
      <c r="I63" s="1"/>
      <c r="J63" s="1"/>
      <c r="K63" s="1"/>
      <c r="L63" s="1"/>
      <c r="M63" s="1"/>
      <c r="N63" s="1"/>
      <c r="O63" s="1"/>
      <c r="P63" s="1"/>
      <c r="Q63" s="1"/>
      <c r="R63" s="38"/>
      <c r="S63" s="1"/>
    </row>
    <row r="64" spans="2:19" ht="15.7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15.75" x14ac:dyDescent="0.25">
      <c r="B65" s="1"/>
      <c r="C65" s="1"/>
      <c r="D65" s="1"/>
      <c r="E65" s="1"/>
      <c r="F65" s="1"/>
      <c r="G65" s="1"/>
      <c r="H65" s="11"/>
      <c r="I65" s="1"/>
      <c r="J65" s="1"/>
      <c r="K65" s="1"/>
      <c r="L65" s="1"/>
      <c r="M65" s="1"/>
      <c r="N65" s="1"/>
      <c r="O65" s="1"/>
      <c r="P65" s="1"/>
      <c r="Q65" s="1"/>
      <c r="R65" s="11"/>
      <c r="S65" s="1"/>
    </row>
    <row r="66" spans="2:19" ht="15.7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5.7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ht="15.7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19" ht="15.75" x14ac:dyDescent="0.25">
      <c r="B69" s="1"/>
      <c r="C69" s="41"/>
      <c r="D69" s="1"/>
      <c r="E69" s="1"/>
      <c r="F69" s="1"/>
      <c r="G69" s="1"/>
      <c r="H69" s="1"/>
      <c r="I69" s="1"/>
      <c r="J69" s="1"/>
      <c r="K69" s="1"/>
      <c r="L69" s="1"/>
      <c r="M69" s="41"/>
      <c r="N69" s="1"/>
      <c r="O69" s="1"/>
      <c r="P69" s="1"/>
      <c r="Q69" s="1"/>
      <c r="R69" s="1"/>
      <c r="S69" s="1"/>
    </row>
    <row r="70" spans="2:19" ht="15.75" x14ac:dyDescent="0.25">
      <c r="B70" s="1"/>
      <c r="C70" s="1"/>
      <c r="D70" s="1"/>
      <c r="E70" s="1"/>
      <c r="F70" s="1"/>
      <c r="G70" s="1"/>
      <c r="H70" s="38"/>
      <c r="I70" s="1"/>
      <c r="J70" s="1"/>
      <c r="K70" s="1"/>
      <c r="L70" s="1"/>
      <c r="M70" s="1"/>
      <c r="N70" s="1"/>
      <c r="O70" s="1"/>
      <c r="P70" s="1"/>
      <c r="Q70" s="1"/>
      <c r="R70" s="38"/>
      <c r="S70" s="1"/>
    </row>
    <row r="71" spans="2:19" ht="15.75" x14ac:dyDescent="0.25">
      <c r="B71" s="1"/>
      <c r="C71" s="1"/>
      <c r="D71" s="1"/>
      <c r="E71" s="1"/>
      <c r="F71" s="1"/>
      <c r="G71" s="1"/>
      <c r="H71" s="38"/>
      <c r="I71" s="1"/>
      <c r="J71" s="1"/>
      <c r="K71" s="1"/>
      <c r="L71" s="1"/>
      <c r="M71" s="1"/>
      <c r="N71" s="1"/>
      <c r="O71" s="1"/>
      <c r="P71" s="1"/>
      <c r="Q71" s="1"/>
      <c r="R71" s="38"/>
      <c r="S71" s="1"/>
    </row>
    <row r="72" spans="2:19" ht="15.7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19" ht="15.7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2:19" ht="15.75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5.75" x14ac:dyDescent="0.25">
      <c r="B75" s="1"/>
      <c r="C75" s="1"/>
      <c r="D75" s="1"/>
      <c r="E75" s="1"/>
      <c r="F75" s="1"/>
      <c r="G75" s="1"/>
      <c r="H75" s="35"/>
      <c r="I75" s="1"/>
      <c r="J75" s="1"/>
      <c r="K75" s="1"/>
      <c r="L75" s="1"/>
      <c r="M75" s="1"/>
      <c r="N75" s="1"/>
      <c r="O75" s="1"/>
      <c r="P75" s="1"/>
      <c r="Q75" s="1"/>
      <c r="R75" s="35"/>
      <c r="S75" s="1"/>
    </row>
    <row r="76" spans="2:19" ht="15.75" x14ac:dyDescent="0.25">
      <c r="B76" s="1"/>
      <c r="C76" s="1"/>
      <c r="D76" s="1"/>
      <c r="E76" s="1"/>
      <c r="F76" s="1"/>
      <c r="G76" s="1"/>
      <c r="H76" s="37"/>
      <c r="I76" s="1"/>
      <c r="J76" s="1"/>
      <c r="K76" s="1"/>
      <c r="L76" s="1"/>
      <c r="M76" s="1"/>
      <c r="N76" s="1"/>
      <c r="O76" s="1"/>
      <c r="P76" s="1"/>
      <c r="Q76" s="1"/>
      <c r="R76" s="37"/>
      <c r="S76" s="1"/>
    </row>
    <row r="77" spans="2:19" ht="15.75" x14ac:dyDescent="0.25">
      <c r="B77" s="1"/>
      <c r="C77" s="1"/>
      <c r="D77" s="1"/>
      <c r="E77" s="1"/>
      <c r="F77" s="1"/>
      <c r="G77" s="1"/>
      <c r="H77" s="38"/>
      <c r="I77" s="1"/>
      <c r="J77" s="1"/>
      <c r="K77" s="1"/>
      <c r="L77" s="1"/>
      <c r="M77" s="1"/>
      <c r="N77" s="1"/>
      <c r="O77" s="1"/>
      <c r="P77" s="1"/>
      <c r="Q77" s="1"/>
      <c r="R77" s="38"/>
      <c r="S77" s="1"/>
    </row>
    <row r="78" spans="2:19" ht="15.75" x14ac:dyDescent="0.25">
      <c r="B78" s="1"/>
      <c r="C78" s="1"/>
      <c r="D78" s="1"/>
      <c r="E78" s="1"/>
      <c r="F78" s="1"/>
      <c r="G78" s="1"/>
      <c r="H78" s="38"/>
      <c r="I78" s="1"/>
      <c r="J78" s="1"/>
      <c r="K78" s="1"/>
      <c r="L78" s="1"/>
      <c r="M78" s="1"/>
      <c r="N78" s="1"/>
      <c r="O78" s="1"/>
      <c r="P78" s="1"/>
      <c r="Q78" s="1"/>
      <c r="R78" s="38"/>
      <c r="S78" s="1"/>
    </row>
    <row r="79" spans="2:19" ht="15.75" x14ac:dyDescent="0.25">
      <c r="B79" s="1"/>
      <c r="C79" s="1"/>
      <c r="D79" s="1"/>
      <c r="E79" s="1"/>
      <c r="F79" s="1"/>
      <c r="G79" s="1"/>
      <c r="H79" s="38"/>
      <c r="I79" s="1"/>
      <c r="J79" s="1"/>
      <c r="K79" s="1"/>
      <c r="L79" s="1"/>
      <c r="M79" s="1"/>
      <c r="N79" s="1"/>
      <c r="O79" s="1"/>
      <c r="P79" s="1"/>
      <c r="Q79" s="1"/>
      <c r="R79" s="38"/>
      <c r="S79" s="1"/>
    </row>
    <row r="80" spans="2:19" ht="15.75" x14ac:dyDescent="0.25">
      <c r="B80" s="1"/>
      <c r="C80" s="1"/>
      <c r="D80" s="1"/>
      <c r="E80" s="1"/>
      <c r="F80" s="1"/>
      <c r="G80" s="1"/>
      <c r="H80" s="38"/>
      <c r="I80" s="1"/>
      <c r="J80" s="1"/>
      <c r="K80" s="1"/>
      <c r="L80" s="1"/>
      <c r="M80" s="1"/>
      <c r="N80" s="1"/>
      <c r="O80" s="1"/>
      <c r="P80" s="1"/>
      <c r="Q80" s="1"/>
      <c r="R80" s="38"/>
      <c r="S80" s="1"/>
    </row>
    <row r="81" spans="2:19" ht="15.75" x14ac:dyDescent="0.25">
      <c r="B81" s="1"/>
      <c r="C81" s="36"/>
      <c r="D81" s="1"/>
      <c r="E81" s="1"/>
      <c r="F81" s="1"/>
      <c r="G81" s="1"/>
      <c r="H81" s="38"/>
      <c r="I81" s="1"/>
      <c r="J81" s="1"/>
      <c r="K81" s="1"/>
      <c r="L81" s="1"/>
      <c r="M81" s="36"/>
      <c r="N81" s="1"/>
      <c r="O81" s="1"/>
      <c r="P81" s="1"/>
      <c r="Q81" s="1"/>
      <c r="R81" s="38"/>
      <c r="S81" s="1"/>
    </row>
    <row r="82" spans="2:19" ht="15.75" x14ac:dyDescent="0.25">
      <c r="B82" s="1"/>
      <c r="C82" s="1"/>
      <c r="D82" s="1"/>
      <c r="E82" s="1"/>
      <c r="F82" s="1"/>
      <c r="G82" s="1"/>
      <c r="H82" s="38"/>
      <c r="I82" s="1"/>
      <c r="J82" s="1"/>
      <c r="K82" s="1"/>
      <c r="L82" s="1"/>
      <c r="M82" s="1"/>
      <c r="N82" s="1"/>
      <c r="O82" s="1"/>
      <c r="P82" s="1"/>
      <c r="Q82" s="1"/>
      <c r="R82" s="38"/>
      <c r="S82" s="1"/>
    </row>
    <row r="83" spans="2:19" ht="15.75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15.75" x14ac:dyDescent="0.25">
      <c r="B84" s="11"/>
      <c r="C84" s="1"/>
      <c r="D84" s="1"/>
      <c r="E84" s="1"/>
      <c r="F84" s="1"/>
      <c r="G84" s="1"/>
      <c r="H84" s="1"/>
      <c r="I84" s="1"/>
      <c r="J84" s="1"/>
      <c r="K84" s="1"/>
      <c r="L84" s="11"/>
      <c r="M84" s="1"/>
      <c r="N84" s="1"/>
      <c r="O84" s="1"/>
      <c r="P84" s="1"/>
      <c r="Q84" s="1"/>
      <c r="R84" s="1"/>
      <c r="S84" s="1"/>
    </row>
    <row r="85" spans="2:19" ht="15.75" x14ac:dyDescent="0.25">
      <c r="B85" s="1"/>
      <c r="C85" s="1"/>
      <c r="D85" s="1"/>
      <c r="E85" s="1"/>
      <c r="F85" s="1"/>
      <c r="G85" s="1"/>
      <c r="H85" s="35"/>
      <c r="I85" s="1"/>
      <c r="J85" s="1"/>
      <c r="K85" s="1"/>
      <c r="L85" s="1"/>
      <c r="M85" s="1"/>
      <c r="N85" s="1"/>
      <c r="O85" s="1"/>
      <c r="P85" s="1"/>
      <c r="Q85" s="1"/>
      <c r="R85" s="35"/>
      <c r="S85" s="1"/>
    </row>
    <row r="86" spans="2:19" ht="15.75" x14ac:dyDescent="0.25">
      <c r="B86" s="1"/>
      <c r="C86" s="1"/>
      <c r="D86" s="1"/>
      <c r="E86" s="1"/>
      <c r="F86" s="1"/>
      <c r="G86" s="1"/>
      <c r="H86" s="37"/>
      <c r="I86" s="1"/>
      <c r="J86" s="1"/>
      <c r="K86" s="1"/>
      <c r="L86" s="1"/>
      <c r="M86" s="1"/>
      <c r="N86" s="1"/>
      <c r="O86" s="1"/>
      <c r="P86" s="1"/>
      <c r="Q86" s="1"/>
      <c r="R86" s="37"/>
      <c r="S86" s="1"/>
    </row>
    <row r="87" spans="2:19" ht="15.75" x14ac:dyDescent="0.25">
      <c r="B87" s="1"/>
      <c r="C87" s="1"/>
      <c r="D87" s="1"/>
      <c r="E87" s="1"/>
      <c r="F87" s="1"/>
      <c r="G87" s="1"/>
      <c r="H87" s="11"/>
      <c r="I87" s="1"/>
      <c r="J87" s="1"/>
      <c r="K87" s="1"/>
      <c r="L87" s="1"/>
      <c r="M87" s="1"/>
      <c r="N87" s="1"/>
      <c r="O87" s="1"/>
      <c r="P87" s="1"/>
      <c r="Q87" s="1"/>
      <c r="R87" s="11"/>
      <c r="S87" s="1"/>
    </row>
    <row r="88" spans="2:19" ht="15.75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15.75" x14ac:dyDescent="0.25">
      <c r="B89" s="1"/>
      <c r="C89" s="1"/>
      <c r="D89" s="1"/>
      <c r="E89" s="1"/>
      <c r="F89" s="1"/>
      <c r="G89" s="1"/>
      <c r="H89" s="38"/>
      <c r="I89" s="1"/>
      <c r="J89" s="1"/>
      <c r="K89" s="1"/>
      <c r="L89" s="1"/>
      <c r="M89" s="1"/>
      <c r="N89" s="1"/>
      <c r="O89" s="1"/>
      <c r="P89" s="1"/>
      <c r="Q89" s="1"/>
      <c r="R89" s="38"/>
      <c r="S89" s="1"/>
    </row>
    <row r="90" spans="2:19" ht="15.75" x14ac:dyDescent="0.25">
      <c r="B90" s="1"/>
      <c r="C90" s="1"/>
      <c r="D90" s="1"/>
      <c r="E90" s="1"/>
      <c r="F90" s="1"/>
      <c r="G90" s="1"/>
      <c r="H90" s="38"/>
      <c r="I90" s="1"/>
      <c r="J90" s="1"/>
      <c r="K90" s="1"/>
      <c r="L90" s="1"/>
      <c r="M90" s="1"/>
      <c r="N90" s="1"/>
      <c r="O90" s="1"/>
      <c r="P90" s="1"/>
      <c r="Q90" s="1"/>
      <c r="R90" s="38"/>
      <c r="S90" s="1"/>
    </row>
    <row r="91" spans="2:19" ht="15.75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15.75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15.75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15.75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5.75" x14ac:dyDescent="0.25">
      <c r="B95" s="1"/>
      <c r="C95" s="1"/>
      <c r="D95" s="1"/>
      <c r="E95" s="1"/>
      <c r="F95" s="1"/>
      <c r="G95" s="1"/>
      <c r="H95" s="38"/>
      <c r="I95" s="1"/>
      <c r="J95" s="1"/>
      <c r="K95" s="1"/>
      <c r="L95" s="1"/>
      <c r="M95" s="1"/>
      <c r="N95" s="1"/>
      <c r="O95" s="1"/>
      <c r="P95" s="1"/>
      <c r="Q95" s="1"/>
      <c r="R95" s="38"/>
      <c r="S95" s="1"/>
    </row>
    <row r="96" spans="2:19" ht="15.75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15.75" x14ac:dyDescent="0.25">
      <c r="B97" s="1"/>
      <c r="C97" s="1"/>
      <c r="D97" s="1"/>
      <c r="E97" s="1"/>
      <c r="F97" s="1"/>
      <c r="G97" s="1"/>
      <c r="H97" s="11"/>
      <c r="I97" s="1"/>
      <c r="J97" s="1"/>
      <c r="K97" s="1"/>
      <c r="L97" s="1"/>
      <c r="M97" s="1"/>
      <c r="N97" s="1"/>
      <c r="O97" s="1"/>
      <c r="P97" s="1"/>
      <c r="Q97" s="1"/>
      <c r="R97" s="11"/>
      <c r="S97" s="1"/>
    </row>
    <row r="98" spans="2:19" ht="15.75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5.75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ht="15.75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15.75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ht="15.75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5.75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ht="15.75" x14ac:dyDescent="0.25">
      <c r="B104" s="1"/>
      <c r="C104" s="1"/>
      <c r="D104" s="1"/>
      <c r="E104" s="1"/>
      <c r="F104" s="1"/>
      <c r="G104" s="1"/>
      <c r="H104" s="38"/>
      <c r="I104" s="1"/>
      <c r="J104" s="42"/>
      <c r="K104" s="42"/>
      <c r="L104" s="1"/>
      <c r="M104" s="1"/>
      <c r="N104" s="1"/>
      <c r="O104" s="1"/>
      <c r="P104" s="1"/>
      <c r="Q104" s="1"/>
      <c r="R104" s="38"/>
      <c r="S104" s="1"/>
    </row>
    <row r="105" spans="2:19" ht="15.75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 ht="15.75" x14ac:dyDescent="0.25">
      <c r="B106" s="1"/>
      <c r="C106" s="1"/>
      <c r="D106" s="1"/>
      <c r="E106" s="1"/>
      <c r="F106" s="1"/>
      <c r="G106" s="1"/>
      <c r="H106" s="1"/>
      <c r="I106" s="1"/>
      <c r="J106" s="12"/>
      <c r="K106" s="12"/>
      <c r="L106" s="1"/>
      <c r="M106" s="1"/>
      <c r="N106" s="1"/>
      <c r="O106" s="1"/>
      <c r="P106" s="1"/>
      <c r="Q106" s="1"/>
      <c r="R106" s="1"/>
      <c r="S106" s="1"/>
    </row>
    <row r="107" spans="2:19" ht="15.75" x14ac:dyDescent="0.25">
      <c r="B107" s="1"/>
      <c r="C107" s="1"/>
      <c r="D107" s="1"/>
      <c r="E107" s="1"/>
      <c r="F107" s="1"/>
      <c r="G107" s="1"/>
      <c r="H107" s="1"/>
      <c r="I107" s="1"/>
      <c r="J107" s="42"/>
      <c r="K107" s="42"/>
      <c r="L107" s="1"/>
      <c r="M107" s="1"/>
      <c r="N107" s="1"/>
      <c r="O107" s="1"/>
      <c r="P107" s="1"/>
      <c r="Q107" s="1"/>
      <c r="R107" s="1"/>
      <c r="S107" s="1"/>
    </row>
    <row r="108" spans="2:19" ht="15.75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 ht="15.75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 ht="15.75" x14ac:dyDescent="0.25">
      <c r="B110" s="1"/>
      <c r="C110" s="1"/>
      <c r="D110" s="1"/>
      <c r="E110" s="1"/>
      <c r="F110" s="1"/>
      <c r="G110" s="1"/>
      <c r="H110" s="1"/>
      <c r="I110" s="1"/>
      <c r="J110" s="43"/>
      <c r="K110" s="43"/>
      <c r="L110" s="1"/>
      <c r="M110" s="1"/>
      <c r="N110" s="1"/>
      <c r="O110" s="1"/>
      <c r="P110" s="1"/>
      <c r="Q110" s="1"/>
      <c r="R110" s="1"/>
      <c r="S110" s="1"/>
    </row>
    <row r="111" spans="2:19" ht="15.75" x14ac:dyDescent="0.25">
      <c r="B111" s="1"/>
      <c r="C111" s="1"/>
      <c r="D111" s="1"/>
      <c r="E111" s="1"/>
      <c r="F111" s="1"/>
      <c r="G111" s="1"/>
      <c r="H111" s="1"/>
      <c r="I111" s="1"/>
      <c r="J111" s="43"/>
      <c r="K111" s="43"/>
      <c r="L111" s="1"/>
      <c r="M111" s="1"/>
      <c r="N111" s="1"/>
      <c r="O111" s="1"/>
      <c r="P111" s="1"/>
      <c r="Q111" s="1"/>
      <c r="R111" s="1"/>
      <c r="S111" s="1"/>
    </row>
    <row r="112" spans="2:19" ht="15.75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ht="15.75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ht="15.75" x14ac:dyDescent="0.25">
      <c r="B114" s="1"/>
      <c r="C114" s="1"/>
      <c r="D114" s="1"/>
      <c r="E114" s="1"/>
      <c r="F114" s="1"/>
      <c r="G114" s="1"/>
      <c r="H114" s="1"/>
      <c r="I114" s="1"/>
      <c r="J114" s="31"/>
      <c r="K114" s="31"/>
      <c r="L114" s="1"/>
      <c r="M114" s="1"/>
      <c r="N114" s="1"/>
      <c r="O114" s="1"/>
      <c r="P114" s="1"/>
      <c r="Q114" s="1"/>
      <c r="R114" s="1"/>
      <c r="S114" s="1"/>
    </row>
    <row r="115" spans="2:19" ht="15.75" x14ac:dyDescent="0.25">
      <c r="B115" s="1"/>
      <c r="C115" s="1"/>
      <c r="D115" s="1"/>
      <c r="E115" s="1"/>
      <c r="F115" s="1"/>
      <c r="G115" s="1"/>
      <c r="H115" s="1"/>
      <c r="I115" s="1"/>
      <c r="J115" s="31"/>
      <c r="K115" s="31"/>
      <c r="L115" s="1"/>
      <c r="M115" s="1"/>
      <c r="N115" s="1"/>
      <c r="O115" s="1"/>
      <c r="P115" s="1"/>
      <c r="Q115" s="1"/>
      <c r="R115" s="1"/>
      <c r="S115" s="1"/>
    </row>
  </sheetData>
  <hyperlinks>
    <hyperlink ref="N2" r:id="rId1" display="mailto:customerservice@kinninc.com"/>
  </hyperlinks>
  <pageMargins left="0.25" right="0.25" top="0.75" bottom="0.75" header="0.3" footer="0.3"/>
  <pageSetup scale="85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123"/>
  <sheetViews>
    <sheetView workbookViewId="0">
      <selection activeCell="J119" sqref="J119"/>
    </sheetView>
  </sheetViews>
  <sheetFormatPr defaultRowHeight="15" x14ac:dyDescent="0.25"/>
  <cols>
    <col min="1" max="1" width="6" customWidth="1"/>
    <col min="2" max="2" width="20.140625" customWidth="1"/>
    <col min="3" max="3" width="5.42578125" customWidth="1"/>
    <col min="4" max="4" width="9.7109375" customWidth="1"/>
    <col min="5" max="5" width="18" customWidth="1"/>
    <col min="6" max="6" width="14" customWidth="1"/>
    <col min="8" max="8" width="13.5703125" customWidth="1"/>
    <col min="9" max="9" width="13" customWidth="1"/>
    <col min="10" max="10" width="17.7109375" customWidth="1"/>
    <col min="13" max="13" width="16.42578125" customWidth="1"/>
    <col min="14" max="14" width="13.140625" customWidth="1"/>
    <col min="16" max="16" width="10.5703125" bestFit="1" customWidth="1"/>
    <col min="17" max="17" width="11.28515625" customWidth="1"/>
    <col min="18" max="18" width="9.28515625" bestFit="1" customWidth="1"/>
    <col min="20" max="20" width="10.7109375" bestFit="1" customWidth="1"/>
    <col min="21" max="21" width="9.28515625" bestFit="1" customWidth="1"/>
  </cols>
  <sheetData>
    <row r="4" spans="2:21" x14ac:dyDescent="0.25">
      <c r="I4" s="85" t="s">
        <v>97</v>
      </c>
    </row>
    <row r="5" spans="2:21" ht="18.75" x14ac:dyDescent="0.3">
      <c r="B5" s="86" t="s">
        <v>80</v>
      </c>
      <c r="I5" s="85" t="s">
        <v>107</v>
      </c>
    </row>
    <row r="6" spans="2:21" ht="15.75" x14ac:dyDescent="0.25">
      <c r="I6" s="14">
        <f>+Summary!H10</f>
        <v>1</v>
      </c>
      <c r="J6" s="1" t="s">
        <v>112</v>
      </c>
    </row>
    <row r="7" spans="2:21" x14ac:dyDescent="0.25">
      <c r="B7" s="74" t="s">
        <v>67</v>
      </c>
      <c r="C7" s="71"/>
      <c r="D7" s="71"/>
      <c r="E7" s="71"/>
      <c r="F7" s="71"/>
      <c r="G7" s="71"/>
      <c r="H7" s="71"/>
      <c r="I7" s="71"/>
      <c r="J7" s="84"/>
      <c r="K7" s="64"/>
      <c r="L7" s="64"/>
      <c r="M7" s="63"/>
      <c r="N7" s="62"/>
      <c r="O7" s="62"/>
      <c r="P7" s="81"/>
      <c r="Q7" s="80"/>
      <c r="T7" s="51"/>
      <c r="U7" s="49"/>
    </row>
    <row r="8" spans="2:21" x14ac:dyDescent="0.25">
      <c r="B8" s="71"/>
      <c r="C8" s="78" t="s">
        <v>56</v>
      </c>
      <c r="D8" s="78"/>
      <c r="E8" s="78"/>
      <c r="F8" s="78"/>
      <c r="G8" s="78"/>
      <c r="H8" s="83">
        <f>+Summary!H8</f>
        <v>50</v>
      </c>
      <c r="I8" s="82"/>
      <c r="J8" s="64"/>
      <c r="K8" s="64"/>
      <c r="L8" s="64"/>
      <c r="M8" s="63"/>
      <c r="N8" s="62"/>
      <c r="O8" s="62"/>
      <c r="P8" s="81"/>
      <c r="Q8" s="80"/>
      <c r="T8" s="51"/>
      <c r="U8" s="49"/>
    </row>
    <row r="9" spans="2:21" x14ac:dyDescent="0.25">
      <c r="B9" s="79"/>
      <c r="C9" s="78" t="s">
        <v>57</v>
      </c>
      <c r="D9" s="78"/>
      <c r="E9" s="78"/>
      <c r="F9" s="78"/>
      <c r="G9" s="78"/>
      <c r="H9" s="77">
        <f>+Summary!H9</f>
        <v>11</v>
      </c>
      <c r="I9" s="76"/>
      <c r="J9" s="64"/>
      <c r="K9" s="64"/>
      <c r="L9" s="64"/>
      <c r="M9" s="63"/>
      <c r="N9" s="62"/>
      <c r="O9" s="62"/>
      <c r="P9" s="62"/>
      <c r="Q9" s="64"/>
    </row>
    <row r="11" spans="2:21" x14ac:dyDescent="0.25">
      <c r="H11" s="60" t="s">
        <v>77</v>
      </c>
    </row>
    <row r="12" spans="2:21" x14ac:dyDescent="0.25">
      <c r="E12" s="60" t="s">
        <v>70</v>
      </c>
      <c r="F12" s="60" t="s">
        <v>72</v>
      </c>
      <c r="H12" s="60" t="s">
        <v>74</v>
      </c>
      <c r="I12" s="60" t="s">
        <v>74</v>
      </c>
    </row>
    <row r="13" spans="2:21" x14ac:dyDescent="0.25">
      <c r="C13" s="75" t="s">
        <v>69</v>
      </c>
      <c r="E13" s="75" t="s">
        <v>71</v>
      </c>
      <c r="F13" s="75" t="s">
        <v>73</v>
      </c>
      <c r="H13" s="75" t="s">
        <v>75</v>
      </c>
      <c r="I13" s="75" t="s">
        <v>76</v>
      </c>
    </row>
    <row r="14" spans="2:21" x14ac:dyDescent="0.25">
      <c r="B14" s="74" t="s">
        <v>68</v>
      </c>
      <c r="C14" s="71" t="s">
        <v>60</v>
      </c>
      <c r="D14" s="71"/>
      <c r="E14" s="70">
        <f>R46</f>
        <v>3.75</v>
      </c>
      <c r="F14" s="69">
        <f>H51</f>
        <v>16881.25</v>
      </c>
      <c r="G14" s="61"/>
      <c r="H14" s="73">
        <f>+F14-F16</f>
        <v>7190.3998900000006</v>
      </c>
      <c r="I14" s="72">
        <f>(F14-F16)/F14</f>
        <v>0.4259400156978897</v>
      </c>
    </row>
    <row r="15" spans="2:21" x14ac:dyDescent="0.25">
      <c r="B15" s="71"/>
      <c r="C15" s="71" t="s">
        <v>61</v>
      </c>
      <c r="D15" s="71"/>
      <c r="E15" s="70">
        <f>+H64</f>
        <v>3.5</v>
      </c>
      <c r="F15" s="69">
        <f>H73</f>
        <v>16011.800879999997</v>
      </c>
      <c r="G15" s="61"/>
      <c r="H15" s="73">
        <f>+F15-F16</f>
        <v>6320.9507699999976</v>
      </c>
      <c r="I15" s="72">
        <f>(F15-F16)/F15</f>
        <v>0.39476825982112757</v>
      </c>
    </row>
    <row r="16" spans="2:21" x14ac:dyDescent="0.25">
      <c r="B16" s="71"/>
      <c r="C16" s="71" t="s">
        <v>79</v>
      </c>
      <c r="D16" s="71"/>
      <c r="E16" s="70">
        <f>H93</f>
        <v>0.10416666666666667</v>
      </c>
      <c r="F16" s="69">
        <f>H105</f>
        <v>9690.8501099999994</v>
      </c>
      <c r="G16" s="61"/>
      <c r="H16" s="61"/>
    </row>
    <row r="17" spans="2:9" x14ac:dyDescent="0.25">
      <c r="B17" s="64"/>
      <c r="C17" s="64"/>
      <c r="D17" s="64"/>
      <c r="E17" s="63"/>
      <c r="F17" s="62"/>
      <c r="G17" s="61"/>
      <c r="H17" s="61"/>
    </row>
    <row r="18" spans="2:9" x14ac:dyDescent="0.25">
      <c r="B18" s="64"/>
      <c r="C18" s="64"/>
      <c r="D18" s="64"/>
      <c r="E18" s="68" t="s">
        <v>106</v>
      </c>
      <c r="F18" s="66"/>
      <c r="G18" t="s">
        <v>94</v>
      </c>
      <c r="H18" s="61" t="s">
        <v>60</v>
      </c>
      <c r="I18" s="67">
        <f>J122</f>
        <v>62.532596500693366</v>
      </c>
    </row>
    <row r="19" spans="2:9" x14ac:dyDescent="0.25">
      <c r="B19" s="64"/>
      <c r="C19" s="64"/>
      <c r="D19" s="64"/>
      <c r="E19" s="63"/>
      <c r="F19" s="66"/>
      <c r="G19" t="s">
        <v>94</v>
      </c>
      <c r="H19" s="61" t="s">
        <v>93</v>
      </c>
      <c r="I19" s="67">
        <f>J123</f>
        <v>71.133978314468067</v>
      </c>
    </row>
    <row r="20" spans="2:9" x14ac:dyDescent="0.25">
      <c r="B20" s="64"/>
      <c r="C20" s="64"/>
      <c r="D20" s="64"/>
      <c r="E20" s="63"/>
      <c r="F20" s="66"/>
      <c r="H20" s="61"/>
      <c r="I20" s="46"/>
    </row>
    <row r="21" spans="2:9" x14ac:dyDescent="0.25">
      <c r="B21" s="64"/>
      <c r="C21" s="64"/>
      <c r="D21" s="64"/>
      <c r="E21" s="63"/>
      <c r="F21" s="66"/>
      <c r="H21" s="61"/>
      <c r="I21" s="46"/>
    </row>
    <row r="22" spans="2:9" x14ac:dyDescent="0.25">
      <c r="B22" s="64" t="s">
        <v>105</v>
      </c>
      <c r="C22" s="64"/>
      <c r="D22" s="64"/>
      <c r="E22" s="63"/>
      <c r="F22" s="66"/>
      <c r="H22" s="61"/>
      <c r="I22" s="46"/>
    </row>
    <row r="23" spans="2:9" x14ac:dyDescent="0.25">
      <c r="B23" s="64"/>
      <c r="C23" s="64"/>
      <c r="D23" s="64"/>
      <c r="E23" s="63"/>
      <c r="F23" s="66"/>
      <c r="H23" s="61"/>
      <c r="I23" s="46"/>
    </row>
    <row r="24" spans="2:9" x14ac:dyDescent="0.25">
      <c r="B24" s="64" t="s">
        <v>104</v>
      </c>
      <c r="C24" s="64"/>
      <c r="D24" s="64"/>
      <c r="E24" s="63"/>
      <c r="F24" s="66"/>
      <c r="H24" s="61"/>
      <c r="I24" s="46"/>
    </row>
    <row r="25" spans="2:9" x14ac:dyDescent="0.25">
      <c r="B25" s="64"/>
      <c r="C25" s="64"/>
      <c r="D25" s="64"/>
      <c r="E25" s="63"/>
      <c r="F25" s="66"/>
      <c r="H25" s="61"/>
      <c r="I25" s="46"/>
    </row>
    <row r="26" spans="2:9" x14ac:dyDescent="0.25">
      <c r="B26" s="64"/>
      <c r="C26" s="64"/>
      <c r="D26" s="64"/>
      <c r="E26" s="63"/>
      <c r="F26" s="66"/>
      <c r="H26" s="61"/>
      <c r="I26" s="46"/>
    </row>
    <row r="27" spans="2:9" x14ac:dyDescent="0.25">
      <c r="B27" s="64"/>
      <c r="C27" s="64"/>
      <c r="D27" s="64"/>
      <c r="E27" s="63"/>
      <c r="F27" s="66"/>
      <c r="H27" s="61"/>
      <c r="I27" s="46"/>
    </row>
    <row r="28" spans="2:9" x14ac:dyDescent="0.25">
      <c r="B28" s="64"/>
      <c r="C28" s="64"/>
      <c r="D28" s="64"/>
      <c r="E28" s="63"/>
      <c r="F28" s="66"/>
      <c r="H28" s="61"/>
      <c r="I28" s="46"/>
    </row>
    <row r="29" spans="2:9" x14ac:dyDescent="0.25">
      <c r="B29" s="64"/>
      <c r="C29" s="64"/>
      <c r="D29" s="64"/>
      <c r="E29" s="63"/>
      <c r="F29" s="66"/>
      <c r="H29" s="61"/>
      <c r="I29" s="46"/>
    </row>
    <row r="30" spans="2:9" x14ac:dyDescent="0.25">
      <c r="B30" s="64"/>
      <c r="C30" s="64"/>
      <c r="D30" s="64"/>
      <c r="E30" s="63"/>
      <c r="F30" s="66"/>
      <c r="H30" s="61"/>
      <c r="I30" s="46"/>
    </row>
    <row r="31" spans="2:9" x14ac:dyDescent="0.25">
      <c r="B31" s="64"/>
      <c r="C31" s="64"/>
      <c r="D31" s="64"/>
      <c r="E31" s="63"/>
      <c r="F31" s="65"/>
      <c r="G31" s="61"/>
      <c r="H31" s="61"/>
    </row>
    <row r="32" spans="2:9" x14ac:dyDescent="0.25">
      <c r="B32" s="64"/>
      <c r="C32" s="64"/>
      <c r="D32" s="64"/>
      <c r="E32" s="63"/>
      <c r="F32" s="62"/>
      <c r="G32" s="61"/>
      <c r="H32" s="61"/>
    </row>
    <row r="33" spans="2:18" x14ac:dyDescent="0.25">
      <c r="B33" s="64"/>
      <c r="C33" s="64"/>
      <c r="D33" s="64"/>
      <c r="E33" s="63"/>
      <c r="F33" s="62"/>
      <c r="G33" s="61"/>
      <c r="H33" s="61"/>
    </row>
    <row r="34" spans="2:18" x14ac:dyDescent="0.25">
      <c r="B34" s="64"/>
      <c r="C34" s="64"/>
      <c r="D34" s="64"/>
      <c r="E34" s="63"/>
      <c r="F34" s="62"/>
      <c r="G34" s="61"/>
      <c r="H34" s="61"/>
    </row>
    <row r="35" spans="2:18" x14ac:dyDescent="0.25">
      <c r="B35" s="64"/>
      <c r="C35" s="64"/>
      <c r="D35" s="64"/>
      <c r="E35" s="63"/>
      <c r="F35" s="62"/>
      <c r="G35" s="61"/>
      <c r="H35" s="61"/>
    </row>
    <row r="36" spans="2:18" x14ac:dyDescent="0.25">
      <c r="B36" s="64"/>
      <c r="C36" s="64"/>
      <c r="D36" s="64"/>
      <c r="E36" s="63"/>
      <c r="F36" s="62"/>
      <c r="G36" s="61"/>
      <c r="H36" s="61"/>
    </row>
    <row r="39" spans="2:18" ht="14.25" customHeight="1" x14ac:dyDescent="0.25"/>
    <row r="40" spans="2:18" x14ac:dyDescent="0.25">
      <c r="C40" s="60" t="s">
        <v>78</v>
      </c>
    </row>
    <row r="41" spans="2:18" x14ac:dyDescent="0.25">
      <c r="B41" t="s">
        <v>14</v>
      </c>
    </row>
    <row r="42" spans="2:18" x14ac:dyDescent="0.25">
      <c r="N42" t="s">
        <v>5</v>
      </c>
    </row>
    <row r="43" spans="2:18" x14ac:dyDescent="0.25">
      <c r="B43" t="s">
        <v>0</v>
      </c>
      <c r="H43" s="58">
        <f>+H8</f>
        <v>50</v>
      </c>
      <c r="K43" s="59"/>
      <c r="O43" t="s">
        <v>6</v>
      </c>
      <c r="R43" s="53">
        <f>0.3*H8</f>
        <v>15</v>
      </c>
    </row>
    <row r="44" spans="2:18" x14ac:dyDescent="0.25">
      <c r="B44" t="s">
        <v>1</v>
      </c>
      <c r="H44" s="58">
        <v>2</v>
      </c>
      <c r="O44" t="s">
        <v>7</v>
      </c>
      <c r="R44" s="53">
        <v>15</v>
      </c>
    </row>
    <row r="45" spans="2:18" x14ac:dyDescent="0.25">
      <c r="C45" s="54" t="s">
        <v>12</v>
      </c>
      <c r="H45">
        <f>+H43*H44</f>
        <v>100</v>
      </c>
      <c r="O45" s="54" t="s">
        <v>8</v>
      </c>
      <c r="P45" s="54"/>
      <c r="R45">
        <f>+R43*R44</f>
        <v>225</v>
      </c>
    </row>
    <row r="46" spans="2:18" x14ac:dyDescent="0.25">
      <c r="O46" s="54" t="s">
        <v>9</v>
      </c>
      <c r="P46" s="54"/>
      <c r="R46">
        <f>+R45/60</f>
        <v>3.75</v>
      </c>
    </row>
    <row r="47" spans="2:18" x14ac:dyDescent="0.25">
      <c r="B47" t="s">
        <v>2</v>
      </c>
    </row>
    <row r="48" spans="2:18" x14ac:dyDescent="0.25">
      <c r="C48" t="s">
        <v>3</v>
      </c>
      <c r="H48" s="53">
        <v>0.05</v>
      </c>
    </row>
    <row r="49" spans="2:18" x14ac:dyDescent="0.25">
      <c r="C49" t="s">
        <v>13</v>
      </c>
      <c r="H49" s="53">
        <f>+R46</f>
        <v>3.75</v>
      </c>
      <c r="J49" t="s">
        <v>58</v>
      </c>
    </row>
    <row r="50" spans="2:18" x14ac:dyDescent="0.25">
      <c r="C50" t="s">
        <v>10</v>
      </c>
      <c r="H50" s="52">
        <f>+H9</f>
        <v>11</v>
      </c>
      <c r="J50" t="s">
        <v>4</v>
      </c>
    </row>
    <row r="51" spans="2:18" x14ac:dyDescent="0.25">
      <c r="C51" s="54" t="s">
        <v>11</v>
      </c>
      <c r="H51" s="50">
        <f>+(H45*365*H48)+(H49*H50*365)</f>
        <v>16881.25</v>
      </c>
    </row>
    <row r="52" spans="2:18" x14ac:dyDescent="0.25">
      <c r="H52" s="50"/>
    </row>
    <row r="54" spans="2:18" x14ac:dyDescent="0.25">
      <c r="B54" t="s">
        <v>15</v>
      </c>
    </row>
    <row r="55" spans="2:18" x14ac:dyDescent="0.25">
      <c r="N55" t="s">
        <v>22</v>
      </c>
      <c r="P55" t="s">
        <v>44</v>
      </c>
    </row>
    <row r="56" spans="2:18" x14ac:dyDescent="0.25">
      <c r="B56" t="s">
        <v>0</v>
      </c>
      <c r="H56" s="53">
        <f>+H8</f>
        <v>50</v>
      </c>
      <c r="O56" t="s">
        <v>23</v>
      </c>
      <c r="R56" s="57">
        <v>13.92</v>
      </c>
    </row>
    <row r="57" spans="2:18" x14ac:dyDescent="0.25">
      <c r="B57" t="s">
        <v>1</v>
      </c>
      <c r="H57" s="53">
        <v>2</v>
      </c>
      <c r="O57" t="s">
        <v>34</v>
      </c>
      <c r="R57" s="53">
        <f>+R56/62</f>
        <v>0.22451612903225807</v>
      </c>
    </row>
    <row r="58" spans="2:18" x14ac:dyDescent="0.25">
      <c r="C58" s="54" t="s">
        <v>16</v>
      </c>
      <c r="H58">
        <f>+H56*H57</f>
        <v>100</v>
      </c>
      <c r="O58" s="54"/>
      <c r="P58" s="54"/>
    </row>
    <row r="59" spans="2:18" x14ac:dyDescent="0.25">
      <c r="C59" s="54" t="s">
        <v>17</v>
      </c>
      <c r="H59" s="52">
        <v>6</v>
      </c>
      <c r="O59" s="54"/>
      <c r="P59" s="54"/>
    </row>
    <row r="60" spans="2:18" x14ac:dyDescent="0.25">
      <c r="C60" s="54" t="s">
        <v>18</v>
      </c>
      <c r="H60" s="50">
        <f>+H58*H59</f>
        <v>600</v>
      </c>
      <c r="O60" s="54" t="s">
        <v>24</v>
      </c>
      <c r="P60" s="54"/>
    </row>
    <row r="61" spans="2:18" x14ac:dyDescent="0.25">
      <c r="C61" s="54"/>
      <c r="O61" s="54" t="s">
        <v>25</v>
      </c>
      <c r="P61" s="54"/>
      <c r="R61" s="56">
        <v>1.0999999999999999E-2</v>
      </c>
    </row>
    <row r="62" spans="2:18" x14ac:dyDescent="0.25">
      <c r="B62" t="s">
        <v>19</v>
      </c>
      <c r="N62" t="s">
        <v>32</v>
      </c>
      <c r="O62" t="s">
        <v>31</v>
      </c>
      <c r="R62">
        <v>45</v>
      </c>
    </row>
    <row r="63" spans="2:18" x14ac:dyDescent="0.25">
      <c r="C63" t="s">
        <v>21</v>
      </c>
      <c r="O63" s="54" t="s">
        <v>26</v>
      </c>
      <c r="R63" s="56">
        <f>+R61*R62</f>
        <v>0.495</v>
      </c>
    </row>
    <row r="64" spans="2:18" x14ac:dyDescent="0.25">
      <c r="C64" t="s">
        <v>20</v>
      </c>
      <c r="H64">
        <f>+H8*4.2/60</f>
        <v>3.5</v>
      </c>
      <c r="J64" t="s">
        <v>62</v>
      </c>
    </row>
    <row r="65" spans="2:18" x14ac:dyDescent="0.25">
      <c r="C65" t="s">
        <v>10</v>
      </c>
      <c r="H65" s="52">
        <f>+H9</f>
        <v>11</v>
      </c>
    </row>
    <row r="66" spans="2:18" x14ac:dyDescent="0.25">
      <c r="C66" t="s">
        <v>27</v>
      </c>
      <c r="H66" s="50">
        <v>0.22451599999999999</v>
      </c>
      <c r="O66" t="s">
        <v>29</v>
      </c>
    </row>
    <row r="67" spans="2:18" x14ac:dyDescent="0.25">
      <c r="C67" t="s">
        <v>28</v>
      </c>
      <c r="H67" s="50">
        <v>0.495</v>
      </c>
      <c r="O67" t="s">
        <v>30</v>
      </c>
      <c r="R67" s="50">
        <v>0.12</v>
      </c>
    </row>
    <row r="68" spans="2:18" x14ac:dyDescent="0.25">
      <c r="C68" t="s">
        <v>33</v>
      </c>
      <c r="H68" s="50">
        <v>0.12</v>
      </c>
    </row>
    <row r="69" spans="2:18" x14ac:dyDescent="0.25">
      <c r="C69" t="s">
        <v>35</v>
      </c>
      <c r="H69" s="50">
        <v>0.22451599999999999</v>
      </c>
      <c r="M69" t="s">
        <v>54</v>
      </c>
      <c r="O69" t="s">
        <v>52</v>
      </c>
      <c r="R69">
        <v>12.99</v>
      </c>
    </row>
    <row r="70" spans="2:18" x14ac:dyDescent="0.25">
      <c r="C70" s="54" t="s">
        <v>36</v>
      </c>
      <c r="H70" s="50">
        <f>(SUM(H65:H69))*H64</f>
        <v>42.224111999999991</v>
      </c>
      <c r="P70" t="s">
        <v>53</v>
      </c>
      <c r="R70">
        <f>+R69/320</f>
        <v>4.0593749999999998E-2</v>
      </c>
    </row>
    <row r="71" spans="2:18" x14ac:dyDescent="0.25">
      <c r="D71" t="s">
        <v>37</v>
      </c>
      <c r="H71" s="50">
        <f>+H70*365</f>
        <v>15411.800879999997</v>
      </c>
    </row>
    <row r="73" spans="2:18" x14ac:dyDescent="0.25">
      <c r="B73" t="s">
        <v>38</v>
      </c>
      <c r="H73" s="51">
        <f>+H60+H71</f>
        <v>16011.800879999997</v>
      </c>
    </row>
    <row r="76" spans="2:18" x14ac:dyDescent="0.25">
      <c r="B76" t="s">
        <v>39</v>
      </c>
    </row>
    <row r="77" spans="2:18" x14ac:dyDescent="0.25">
      <c r="C77" s="55" t="s">
        <v>41</v>
      </c>
      <c r="E77" t="s">
        <v>103</v>
      </c>
      <c r="H77">
        <f>+H8</f>
        <v>50</v>
      </c>
    </row>
    <row r="78" spans="2:18" x14ac:dyDescent="0.25">
      <c r="E78" t="s">
        <v>40</v>
      </c>
      <c r="H78" s="50">
        <f>K78*(1-O78)</f>
        <v>8.4375</v>
      </c>
      <c r="J78" t="s">
        <v>64</v>
      </c>
      <c r="K78" s="48">
        <v>11.25</v>
      </c>
      <c r="L78" s="48"/>
      <c r="M78" t="s">
        <v>65</v>
      </c>
      <c r="O78" s="49">
        <v>0.25</v>
      </c>
    </row>
    <row r="79" spans="2:18" x14ac:dyDescent="0.25">
      <c r="D79" t="s">
        <v>42</v>
      </c>
      <c r="H79" s="50">
        <f>+H77*H78</f>
        <v>421.875</v>
      </c>
    </row>
    <row r="81" spans="2:10" x14ac:dyDescent="0.25">
      <c r="C81" t="s">
        <v>43</v>
      </c>
    </row>
    <row r="82" spans="2:10" x14ac:dyDescent="0.25">
      <c r="C82" t="s">
        <v>21</v>
      </c>
    </row>
    <row r="83" spans="2:10" x14ac:dyDescent="0.25">
      <c r="C83" t="s">
        <v>20</v>
      </c>
      <c r="H83" s="53">
        <f>+H8*4.2/60</f>
        <v>3.5</v>
      </c>
    </row>
    <row r="84" spans="2:10" x14ac:dyDescent="0.25">
      <c r="C84" t="s">
        <v>10</v>
      </c>
      <c r="H84" s="52">
        <f>+H9</f>
        <v>11</v>
      </c>
    </row>
    <row r="85" spans="2:10" x14ac:dyDescent="0.25">
      <c r="C85" t="s">
        <v>27</v>
      </c>
      <c r="H85" s="50">
        <v>0.22451599999999999</v>
      </c>
    </row>
    <row r="86" spans="2:10" x14ac:dyDescent="0.25">
      <c r="C86" t="s">
        <v>28</v>
      </c>
      <c r="H86" s="50">
        <v>0.495</v>
      </c>
    </row>
    <row r="87" spans="2:10" x14ac:dyDescent="0.25">
      <c r="C87" t="s">
        <v>33</v>
      </c>
      <c r="H87" s="50">
        <v>0.12</v>
      </c>
    </row>
    <row r="88" spans="2:10" x14ac:dyDescent="0.25">
      <c r="C88" t="s">
        <v>35</v>
      </c>
      <c r="H88" s="50">
        <v>0.22451599999999999</v>
      </c>
    </row>
    <row r="89" spans="2:10" x14ac:dyDescent="0.25">
      <c r="C89" s="54" t="s">
        <v>36</v>
      </c>
      <c r="H89" s="50">
        <f>(SUM(H84:H88))*H83</f>
        <v>42.224111999999991</v>
      </c>
    </row>
    <row r="90" spans="2:10" x14ac:dyDescent="0.25">
      <c r="B90" t="s">
        <v>45</v>
      </c>
      <c r="H90" s="50">
        <f>+H89*365/8</f>
        <v>1926.4751099999996</v>
      </c>
    </row>
    <row r="92" spans="2:10" x14ac:dyDescent="0.25">
      <c r="B92" s="51"/>
    </row>
    <row r="93" spans="2:10" x14ac:dyDescent="0.25">
      <c r="C93" t="s">
        <v>102</v>
      </c>
      <c r="H93" s="53">
        <f>15*H8*0.5/60/60</f>
        <v>0.10416666666666667</v>
      </c>
      <c r="I93" t="s">
        <v>46</v>
      </c>
      <c r="J93" t="s">
        <v>55</v>
      </c>
    </row>
    <row r="94" spans="2:10" x14ac:dyDescent="0.25">
      <c r="C94" t="s">
        <v>10</v>
      </c>
      <c r="H94" s="52">
        <f>+H9</f>
        <v>11</v>
      </c>
    </row>
    <row r="95" spans="2:10" x14ac:dyDescent="0.25">
      <c r="D95" t="s">
        <v>48</v>
      </c>
      <c r="H95" s="51">
        <f>+H93*H94*360</f>
        <v>412.50000000000006</v>
      </c>
      <c r="I95" t="s">
        <v>66</v>
      </c>
    </row>
    <row r="97" spans="2:12" x14ac:dyDescent="0.25">
      <c r="C97" t="s">
        <v>63</v>
      </c>
      <c r="H97" s="50">
        <f>2*H8*0.04</f>
        <v>4</v>
      </c>
      <c r="I97" t="s">
        <v>59</v>
      </c>
    </row>
    <row r="98" spans="2:12" x14ac:dyDescent="0.25">
      <c r="D98" t="s">
        <v>47</v>
      </c>
      <c r="H98" s="50">
        <f>+H97*90</f>
        <v>360</v>
      </c>
      <c r="I98" t="s">
        <v>66</v>
      </c>
    </row>
    <row r="100" spans="2:12" x14ac:dyDescent="0.25">
      <c r="B100" t="s">
        <v>50</v>
      </c>
    </row>
    <row r="101" spans="2:12" x14ac:dyDescent="0.25">
      <c r="C101" t="s">
        <v>49</v>
      </c>
      <c r="H101">
        <v>0.18</v>
      </c>
    </row>
    <row r="102" spans="2:12" x14ac:dyDescent="0.25">
      <c r="C102" t="s">
        <v>101</v>
      </c>
      <c r="H102">
        <f>+H43*2</f>
        <v>100</v>
      </c>
    </row>
    <row r="103" spans="2:12" x14ac:dyDescent="0.25">
      <c r="D103" t="s">
        <v>47</v>
      </c>
      <c r="H103" s="50">
        <f>+H101*H102*365</f>
        <v>6570</v>
      </c>
    </row>
    <row r="105" spans="2:12" x14ac:dyDescent="0.25">
      <c r="B105" t="s">
        <v>51</v>
      </c>
      <c r="H105" s="51">
        <f>+H79+H90+H95+H98+H103</f>
        <v>9690.8501099999994</v>
      </c>
    </row>
    <row r="109" spans="2:12" x14ac:dyDescent="0.25">
      <c r="B109" t="s">
        <v>81</v>
      </c>
    </row>
    <row r="111" spans="2:12" x14ac:dyDescent="0.25">
      <c r="E111" t="s">
        <v>82</v>
      </c>
      <c r="J111" t="s">
        <v>88</v>
      </c>
    </row>
    <row r="112" spans="2:12" x14ac:dyDescent="0.25">
      <c r="F112" t="s">
        <v>83</v>
      </c>
      <c r="G112">
        <f>H8</f>
        <v>50</v>
      </c>
      <c r="H112" s="50"/>
      <c r="J112" s="48">
        <f>K78</f>
        <v>11.25</v>
      </c>
      <c r="L112" s="48"/>
    </row>
    <row r="113" spans="5:10" x14ac:dyDescent="0.25">
      <c r="F113" t="s">
        <v>84</v>
      </c>
      <c r="G113">
        <f>H8*H44*60</f>
        <v>6000</v>
      </c>
      <c r="H113" t="s">
        <v>87</v>
      </c>
      <c r="J113">
        <f>H101</f>
        <v>0.18</v>
      </c>
    </row>
    <row r="114" spans="5:10" x14ac:dyDescent="0.25">
      <c r="F114" t="s">
        <v>85</v>
      </c>
      <c r="J114" s="49">
        <f>O78</f>
        <v>0.25</v>
      </c>
    </row>
    <row r="115" spans="5:10" x14ac:dyDescent="0.25">
      <c r="F115" t="s">
        <v>86</v>
      </c>
      <c r="J115" s="48">
        <f>(+G112*J112+G113*J113)*(1-J114)</f>
        <v>1231.875</v>
      </c>
    </row>
    <row r="117" spans="5:10" x14ac:dyDescent="0.25">
      <c r="E117" t="s">
        <v>89</v>
      </c>
    </row>
    <row r="118" spans="5:10" x14ac:dyDescent="0.25">
      <c r="F118" t="s">
        <v>90</v>
      </c>
      <c r="J118" s="47">
        <f>H14/365</f>
        <v>19.699725726027399</v>
      </c>
    </row>
    <row r="119" spans="5:10" x14ac:dyDescent="0.25">
      <c r="F119" t="s">
        <v>91</v>
      </c>
      <c r="J119" s="47">
        <f>H15/365</f>
        <v>17.317673342465746</v>
      </c>
    </row>
    <row r="121" spans="5:10" x14ac:dyDescent="0.25">
      <c r="E121" t="s">
        <v>92</v>
      </c>
    </row>
    <row r="122" spans="5:10" x14ac:dyDescent="0.25">
      <c r="F122" t="s">
        <v>90</v>
      </c>
      <c r="J122" s="46">
        <f>J115/J118</f>
        <v>62.532596500693366</v>
      </c>
    </row>
    <row r="123" spans="5:10" x14ac:dyDescent="0.25">
      <c r="F123" t="s">
        <v>91</v>
      </c>
      <c r="J123" s="46">
        <f>J115/J119</f>
        <v>71.133978314468067</v>
      </c>
    </row>
  </sheetData>
  <sheetProtection password="9880" sheet="1" objects="1" scenarios="1" selectLockedCells="1" selectUn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U123"/>
  <sheetViews>
    <sheetView workbookViewId="0">
      <selection activeCell="J119" sqref="J119"/>
    </sheetView>
  </sheetViews>
  <sheetFormatPr defaultRowHeight="15.75" x14ac:dyDescent="0.25"/>
  <cols>
    <col min="1" max="1" width="6" style="1" customWidth="1"/>
    <col min="2" max="2" width="20.140625" style="1" customWidth="1"/>
    <col min="3" max="3" width="5.42578125" style="1" customWidth="1"/>
    <col min="4" max="4" width="9.7109375" style="1" customWidth="1"/>
    <col min="5" max="5" width="18" style="1" customWidth="1"/>
    <col min="6" max="6" width="17.7109375" style="1" customWidth="1"/>
    <col min="7" max="7" width="9.140625" style="1"/>
    <col min="8" max="8" width="13.5703125" style="1" customWidth="1"/>
    <col min="9" max="9" width="11.42578125" style="1" customWidth="1"/>
    <col min="10" max="10" width="17.7109375" style="1" customWidth="1"/>
    <col min="11" max="12" width="9.140625" style="1"/>
    <col min="13" max="13" width="16.42578125" style="1" customWidth="1"/>
    <col min="14" max="14" width="13.140625" style="1" customWidth="1"/>
    <col min="15" max="15" width="9.140625" style="1"/>
    <col min="16" max="16" width="10.5703125" style="1" bestFit="1" customWidth="1"/>
    <col min="17" max="17" width="11.28515625" style="1" customWidth="1"/>
    <col min="18" max="18" width="9.28515625" style="1" bestFit="1" customWidth="1"/>
    <col min="19" max="19" width="9.140625" style="1"/>
    <col min="20" max="20" width="10.7109375" style="1" bestFit="1" customWidth="1"/>
    <col min="21" max="21" width="9.28515625" style="1" bestFit="1" customWidth="1"/>
    <col min="22" max="16384" width="9.140625" style="1"/>
  </cols>
  <sheetData>
    <row r="5" spans="2:21" x14ac:dyDescent="0.25">
      <c r="B5" s="2" t="s">
        <v>80</v>
      </c>
      <c r="I5" s="44" t="s">
        <v>109</v>
      </c>
      <c r="J5" s="45"/>
    </row>
    <row r="6" spans="2:21" x14ac:dyDescent="0.25">
      <c r="I6" s="14">
        <f>+Summary!H11</f>
        <v>1</v>
      </c>
      <c r="J6" s="1" t="s">
        <v>113</v>
      </c>
    </row>
    <row r="7" spans="2:21" x14ac:dyDescent="0.25">
      <c r="B7" s="3" t="s">
        <v>67</v>
      </c>
      <c r="C7" s="4"/>
      <c r="D7" s="4"/>
      <c r="E7" s="4"/>
      <c r="F7" s="4"/>
      <c r="G7" s="4"/>
      <c r="H7" s="4"/>
      <c r="I7" s="4"/>
      <c r="J7" s="5"/>
      <c r="K7" s="6"/>
      <c r="L7" s="6"/>
      <c r="M7" s="7"/>
      <c r="N7" s="8"/>
      <c r="O7" s="8"/>
      <c r="P7" s="9"/>
      <c r="Q7" s="10"/>
      <c r="T7" s="11"/>
      <c r="U7" s="12"/>
    </row>
    <row r="8" spans="2:21" x14ac:dyDescent="0.25">
      <c r="B8" s="4"/>
      <c r="C8" s="13" t="s">
        <v>56</v>
      </c>
      <c r="D8" s="13"/>
      <c r="E8" s="13"/>
      <c r="F8" s="13"/>
      <c r="G8" s="13"/>
      <c r="H8" s="14">
        <f>+Summary!H8</f>
        <v>50</v>
      </c>
      <c r="I8" s="15"/>
      <c r="J8" s="6"/>
      <c r="K8" s="6"/>
      <c r="L8" s="6"/>
      <c r="M8" s="7"/>
      <c r="N8" s="8"/>
      <c r="O8" s="8"/>
      <c r="P8" s="9"/>
      <c r="Q8" s="10"/>
      <c r="T8" s="11"/>
      <c r="U8" s="12"/>
    </row>
    <row r="9" spans="2:21" x14ac:dyDescent="0.25">
      <c r="B9" s="16"/>
      <c r="C9" s="13" t="s">
        <v>57</v>
      </c>
      <c r="D9" s="13"/>
      <c r="E9" s="13"/>
      <c r="F9" s="13"/>
      <c r="G9" s="13"/>
      <c r="H9" s="17">
        <f>+Summary!H9</f>
        <v>11</v>
      </c>
      <c r="I9" s="18"/>
      <c r="J9" s="6"/>
      <c r="K9" s="6"/>
      <c r="L9" s="6"/>
      <c r="M9" s="7"/>
      <c r="N9" s="8"/>
      <c r="O9" s="8"/>
      <c r="P9" s="8"/>
      <c r="Q9" s="6"/>
    </row>
    <row r="11" spans="2:21" x14ac:dyDescent="0.25">
      <c r="H11" s="19" t="s">
        <v>77</v>
      </c>
    </row>
    <row r="12" spans="2:21" x14ac:dyDescent="0.25">
      <c r="E12" s="19" t="s">
        <v>70</v>
      </c>
      <c r="F12" s="19" t="s">
        <v>72</v>
      </c>
      <c r="H12" s="19" t="s">
        <v>74</v>
      </c>
      <c r="I12" s="19" t="s">
        <v>74</v>
      </c>
    </row>
    <row r="13" spans="2:21" x14ac:dyDescent="0.25">
      <c r="C13" s="2" t="s">
        <v>69</v>
      </c>
      <c r="E13" s="2" t="s">
        <v>71</v>
      </c>
      <c r="F13" s="2" t="s">
        <v>73</v>
      </c>
      <c r="H13" s="2" t="s">
        <v>75</v>
      </c>
      <c r="I13" s="2" t="s">
        <v>76</v>
      </c>
    </row>
    <row r="14" spans="2:21" x14ac:dyDescent="0.25">
      <c r="B14" s="3" t="s">
        <v>68</v>
      </c>
      <c r="C14" s="4" t="s">
        <v>60</v>
      </c>
      <c r="D14" s="4"/>
      <c r="E14" s="20">
        <f>R46</f>
        <v>0</v>
      </c>
      <c r="F14" s="89">
        <f>H51</f>
        <v>0</v>
      </c>
      <c r="G14" s="22"/>
      <c r="H14" s="23">
        <f>+F14</f>
        <v>0</v>
      </c>
      <c r="I14" s="23">
        <f>+F14</f>
        <v>0</v>
      </c>
    </row>
    <row r="15" spans="2:21" x14ac:dyDescent="0.25">
      <c r="B15" s="4"/>
      <c r="C15" s="4" t="s">
        <v>61</v>
      </c>
      <c r="D15" s="4"/>
      <c r="E15" s="20">
        <f>+H64</f>
        <v>1.75</v>
      </c>
      <c r="F15" s="21">
        <f>H73</f>
        <v>8005.9004399999985</v>
      </c>
      <c r="G15" s="22"/>
      <c r="H15" s="25">
        <f>+F15-F16</f>
        <v>2743.2878849999988</v>
      </c>
      <c r="I15" s="26">
        <f>(F15-F16)/F15</f>
        <v>0.34265825631476365</v>
      </c>
    </row>
    <row r="16" spans="2:21" x14ac:dyDescent="0.25">
      <c r="B16" s="4"/>
      <c r="C16" s="4" t="s">
        <v>79</v>
      </c>
      <c r="D16" s="4"/>
      <c r="E16" s="20">
        <f>H93</f>
        <v>0.10416666666666667</v>
      </c>
      <c r="F16" s="21">
        <f>H105</f>
        <v>5262.6125549999997</v>
      </c>
      <c r="G16" s="22"/>
      <c r="H16" s="22"/>
    </row>
    <row r="17" spans="2:9" x14ac:dyDescent="0.25">
      <c r="B17" s="6"/>
      <c r="C17" s="6"/>
      <c r="D17" s="6"/>
      <c r="E17" s="7"/>
      <c r="F17" s="8"/>
      <c r="G17" s="22"/>
      <c r="H17" s="22"/>
    </row>
    <row r="18" spans="2:9" x14ac:dyDescent="0.25">
      <c r="B18" s="6"/>
      <c r="C18" s="6"/>
      <c r="D18" s="6"/>
      <c r="E18" s="27" t="s">
        <v>98</v>
      </c>
      <c r="F18" s="28"/>
      <c r="G18" s="1" t="s">
        <v>94</v>
      </c>
      <c r="H18" s="22" t="s">
        <v>60</v>
      </c>
      <c r="I18" s="29" t="s">
        <v>96</v>
      </c>
    </row>
    <row r="19" spans="2:9" x14ac:dyDescent="0.25">
      <c r="B19" s="6"/>
      <c r="C19" s="6"/>
      <c r="D19" s="6"/>
      <c r="E19" s="7"/>
      <c r="F19" s="28"/>
      <c r="G19" s="1" t="s">
        <v>94</v>
      </c>
      <c r="H19" s="22" t="s">
        <v>93</v>
      </c>
      <c r="I19" s="30">
        <f>J123</f>
        <v>56.131321777043489</v>
      </c>
    </row>
    <row r="20" spans="2:9" x14ac:dyDescent="0.25">
      <c r="B20" s="6"/>
      <c r="C20" s="6"/>
      <c r="D20" s="6"/>
      <c r="E20" s="7"/>
      <c r="F20" s="28"/>
      <c r="H20" s="22"/>
      <c r="I20" s="31"/>
    </row>
    <row r="21" spans="2:9" hidden="1" x14ac:dyDescent="0.25">
      <c r="B21" s="6"/>
      <c r="C21" s="6"/>
      <c r="D21" s="6"/>
      <c r="E21" s="7"/>
      <c r="F21" s="28"/>
      <c r="H21" s="22"/>
      <c r="I21" s="31"/>
    </row>
    <row r="22" spans="2:9" hidden="1" x14ac:dyDescent="0.25">
      <c r="B22" s="6" t="s">
        <v>99</v>
      </c>
      <c r="C22" s="6"/>
      <c r="D22" s="6"/>
      <c r="E22" s="7"/>
      <c r="F22" s="28"/>
      <c r="H22" s="22"/>
      <c r="I22" s="31"/>
    </row>
    <row r="23" spans="2:9" hidden="1" x14ac:dyDescent="0.25">
      <c r="B23" s="6"/>
      <c r="C23" s="6"/>
      <c r="D23" s="6"/>
      <c r="E23" s="7"/>
      <c r="F23" s="28"/>
      <c r="H23" s="22"/>
      <c r="I23" s="31"/>
    </row>
    <row r="24" spans="2:9" hidden="1" x14ac:dyDescent="0.25">
      <c r="B24" s="6" t="s">
        <v>100</v>
      </c>
      <c r="C24" s="6"/>
      <c r="D24" s="6"/>
      <c r="E24" s="7"/>
      <c r="F24" s="28"/>
      <c r="H24" s="22"/>
      <c r="I24" s="31"/>
    </row>
    <row r="25" spans="2:9" hidden="1" x14ac:dyDescent="0.25">
      <c r="B25" s="6"/>
      <c r="C25" s="6"/>
      <c r="D25" s="6"/>
      <c r="E25" s="7"/>
      <c r="F25" s="28"/>
      <c r="H25" s="22"/>
      <c r="I25" s="31"/>
    </row>
    <row r="26" spans="2:9" hidden="1" x14ac:dyDescent="0.25">
      <c r="B26" s="6"/>
      <c r="C26" s="6"/>
      <c r="D26" s="6"/>
      <c r="E26" s="7"/>
      <c r="F26" s="28"/>
      <c r="H26" s="22"/>
      <c r="I26" s="31"/>
    </row>
    <row r="27" spans="2:9" hidden="1" x14ac:dyDescent="0.25">
      <c r="B27" s="6"/>
      <c r="C27" s="6"/>
      <c r="D27" s="6"/>
      <c r="E27" s="7"/>
      <c r="F27" s="28"/>
      <c r="H27" s="22"/>
      <c r="I27" s="31"/>
    </row>
    <row r="28" spans="2:9" hidden="1" x14ac:dyDescent="0.25">
      <c r="B28" s="6"/>
      <c r="C28" s="6"/>
      <c r="D28" s="6"/>
      <c r="E28" s="7"/>
      <c r="F28" s="28"/>
      <c r="H28" s="22"/>
      <c r="I28" s="31"/>
    </row>
    <row r="29" spans="2:9" hidden="1" x14ac:dyDescent="0.25">
      <c r="B29" s="6"/>
      <c r="C29" s="6"/>
      <c r="D29" s="6"/>
      <c r="E29" s="7"/>
      <c r="F29" s="28"/>
      <c r="H29" s="22"/>
      <c r="I29" s="31"/>
    </row>
    <row r="30" spans="2:9" hidden="1" x14ac:dyDescent="0.25">
      <c r="B30" s="6"/>
      <c r="C30" s="6"/>
      <c r="D30" s="6"/>
      <c r="E30" s="7"/>
      <c r="F30" s="28"/>
      <c r="H30" s="22"/>
      <c r="I30" s="31"/>
    </row>
    <row r="31" spans="2:9" hidden="1" x14ac:dyDescent="0.25">
      <c r="B31" s="6"/>
      <c r="C31" s="6"/>
      <c r="D31" s="6"/>
      <c r="E31" s="7"/>
      <c r="F31" s="32"/>
      <c r="G31" s="22"/>
      <c r="H31" s="22"/>
    </row>
    <row r="32" spans="2:9" hidden="1" x14ac:dyDescent="0.25">
      <c r="B32" s="6"/>
      <c r="C32" s="6"/>
      <c r="D32" s="6"/>
      <c r="E32" s="7"/>
      <c r="F32" s="8"/>
      <c r="G32" s="22"/>
      <c r="H32" s="22"/>
    </row>
    <row r="33" spans="2:18" hidden="1" x14ac:dyDescent="0.25">
      <c r="B33" s="6"/>
      <c r="C33" s="6"/>
      <c r="D33" s="6"/>
      <c r="E33" s="7"/>
      <c r="F33" s="8"/>
      <c r="G33" s="22"/>
      <c r="H33" s="22"/>
    </row>
    <row r="34" spans="2:18" hidden="1" x14ac:dyDescent="0.25">
      <c r="B34" s="6"/>
      <c r="C34" s="6"/>
      <c r="D34" s="6"/>
      <c r="E34" s="7"/>
      <c r="F34" s="8"/>
      <c r="G34" s="22"/>
      <c r="H34" s="22"/>
    </row>
    <row r="35" spans="2:18" hidden="1" x14ac:dyDescent="0.25">
      <c r="B35" s="6"/>
      <c r="C35" s="6"/>
      <c r="D35" s="6"/>
      <c r="E35" s="7"/>
      <c r="F35" s="8"/>
      <c r="G35" s="22"/>
      <c r="H35" s="22"/>
    </row>
    <row r="36" spans="2:18" hidden="1" x14ac:dyDescent="0.25">
      <c r="B36" s="6"/>
      <c r="C36" s="6"/>
      <c r="D36" s="6"/>
      <c r="E36" s="7"/>
      <c r="F36" s="8"/>
      <c r="G36" s="22"/>
      <c r="H36" s="22"/>
    </row>
    <row r="37" spans="2:18" hidden="1" x14ac:dyDescent="0.25"/>
    <row r="38" spans="2:18" hidden="1" x14ac:dyDescent="0.25"/>
    <row r="40" spans="2:18" x14ac:dyDescent="0.25">
      <c r="C40" s="19" t="s">
        <v>78</v>
      </c>
    </row>
    <row r="41" spans="2:18" x14ac:dyDescent="0.25">
      <c r="B41" s="1" t="s">
        <v>14</v>
      </c>
    </row>
    <row r="42" spans="2:18" x14ac:dyDescent="0.25">
      <c r="N42" s="1" t="s">
        <v>5</v>
      </c>
    </row>
    <row r="43" spans="2:18" x14ac:dyDescent="0.25">
      <c r="B43" s="1" t="s">
        <v>0</v>
      </c>
      <c r="H43" s="33">
        <f>+H8</f>
        <v>50</v>
      </c>
      <c r="K43" s="34"/>
      <c r="O43" s="1" t="s">
        <v>6</v>
      </c>
      <c r="R43" s="35">
        <f>0.3*H8/2</f>
        <v>7.5</v>
      </c>
    </row>
    <row r="44" spans="2:18" x14ac:dyDescent="0.25">
      <c r="B44" s="1" t="s">
        <v>1</v>
      </c>
      <c r="H44" s="33">
        <v>0</v>
      </c>
      <c r="O44" s="1" t="s">
        <v>7</v>
      </c>
      <c r="R44" s="35">
        <v>0</v>
      </c>
    </row>
    <row r="45" spans="2:18" x14ac:dyDescent="0.25">
      <c r="C45" s="36" t="s">
        <v>12</v>
      </c>
      <c r="H45" s="1">
        <f>+H43*H44</f>
        <v>0</v>
      </c>
      <c r="O45" s="36" t="s">
        <v>8</v>
      </c>
      <c r="P45" s="36"/>
      <c r="R45" s="1">
        <f>+R43*R44</f>
        <v>0</v>
      </c>
    </row>
    <row r="46" spans="2:18" x14ac:dyDescent="0.25">
      <c r="O46" s="36" t="s">
        <v>9</v>
      </c>
      <c r="P46" s="36"/>
      <c r="R46" s="1">
        <f>+R45/60</f>
        <v>0</v>
      </c>
    </row>
    <row r="47" spans="2:18" x14ac:dyDescent="0.25">
      <c r="B47" s="1" t="s">
        <v>2</v>
      </c>
    </row>
    <row r="48" spans="2:18" x14ac:dyDescent="0.25">
      <c r="C48" s="1" t="s">
        <v>3</v>
      </c>
      <c r="H48" s="35">
        <v>0.05</v>
      </c>
    </row>
    <row r="49" spans="2:18" x14ac:dyDescent="0.25">
      <c r="C49" s="1" t="s">
        <v>13</v>
      </c>
      <c r="H49" s="35">
        <f>+R46</f>
        <v>0</v>
      </c>
      <c r="J49" s="1" t="s">
        <v>58</v>
      </c>
    </row>
    <row r="50" spans="2:18" x14ac:dyDescent="0.25">
      <c r="C50" s="1" t="s">
        <v>10</v>
      </c>
      <c r="H50" s="37">
        <f>+H9</f>
        <v>11</v>
      </c>
      <c r="J50" s="1" t="s">
        <v>4</v>
      </c>
    </row>
    <row r="51" spans="2:18" x14ac:dyDescent="0.25">
      <c r="C51" s="36" t="s">
        <v>11</v>
      </c>
      <c r="H51" s="38"/>
    </row>
    <row r="52" spans="2:18" x14ac:dyDescent="0.25">
      <c r="H52" s="38"/>
    </row>
    <row r="54" spans="2:18" x14ac:dyDescent="0.25">
      <c r="B54" s="1" t="s">
        <v>15</v>
      </c>
    </row>
    <row r="55" spans="2:18" x14ac:dyDescent="0.25">
      <c r="N55" s="1" t="s">
        <v>22</v>
      </c>
      <c r="P55" s="1" t="s">
        <v>44</v>
      </c>
    </row>
    <row r="56" spans="2:18" x14ac:dyDescent="0.25">
      <c r="B56" s="1" t="s">
        <v>0</v>
      </c>
      <c r="H56" s="35">
        <f>+H8</f>
        <v>50</v>
      </c>
      <c r="O56" s="1" t="s">
        <v>23</v>
      </c>
      <c r="R56" s="39">
        <v>13.92</v>
      </c>
    </row>
    <row r="57" spans="2:18" x14ac:dyDescent="0.25">
      <c r="B57" s="1" t="s">
        <v>108</v>
      </c>
      <c r="H57" s="35">
        <v>1</v>
      </c>
      <c r="O57" s="1" t="s">
        <v>34</v>
      </c>
      <c r="R57" s="35">
        <f>+R56/62</f>
        <v>0.22451612903225807</v>
      </c>
    </row>
    <row r="58" spans="2:18" x14ac:dyDescent="0.25">
      <c r="C58" s="36" t="s">
        <v>16</v>
      </c>
      <c r="H58" s="1">
        <f>+H56*H57</f>
        <v>50</v>
      </c>
      <c r="O58" s="36"/>
      <c r="P58" s="36"/>
    </row>
    <row r="59" spans="2:18" x14ac:dyDescent="0.25">
      <c r="C59" s="36" t="s">
        <v>17</v>
      </c>
      <c r="H59" s="37">
        <v>6</v>
      </c>
      <c r="O59" s="36"/>
      <c r="P59" s="36"/>
    </row>
    <row r="60" spans="2:18" x14ac:dyDescent="0.25">
      <c r="C60" s="36" t="s">
        <v>18</v>
      </c>
      <c r="H60" s="38">
        <f>+H58*H59</f>
        <v>300</v>
      </c>
      <c r="O60" s="36" t="s">
        <v>24</v>
      </c>
      <c r="P60" s="36"/>
    </row>
    <row r="61" spans="2:18" x14ac:dyDescent="0.25">
      <c r="C61" s="36"/>
      <c r="O61" s="36" t="s">
        <v>25</v>
      </c>
      <c r="P61" s="36"/>
      <c r="R61" s="40">
        <v>1.0999999999999999E-2</v>
      </c>
    </row>
    <row r="62" spans="2:18" x14ac:dyDescent="0.25">
      <c r="B62" s="1" t="s">
        <v>19</v>
      </c>
      <c r="N62" s="1" t="s">
        <v>32</v>
      </c>
      <c r="O62" s="1" t="s">
        <v>31</v>
      </c>
      <c r="R62" s="1">
        <v>45</v>
      </c>
    </row>
    <row r="63" spans="2:18" x14ac:dyDescent="0.25">
      <c r="C63" s="1" t="s">
        <v>21</v>
      </c>
      <c r="J63" s="1" t="s">
        <v>128</v>
      </c>
      <c r="O63" s="36" t="s">
        <v>26</v>
      </c>
      <c r="R63" s="40">
        <f>+R61*R62</f>
        <v>0.495</v>
      </c>
    </row>
    <row r="64" spans="2:18" x14ac:dyDescent="0.25">
      <c r="C64" s="1" t="s">
        <v>20</v>
      </c>
      <c r="H64" s="6">
        <f>+H8*2.1/60</f>
        <v>1.75</v>
      </c>
      <c r="J64" s="1" t="s">
        <v>127</v>
      </c>
    </row>
    <row r="65" spans="2:18" x14ac:dyDescent="0.25">
      <c r="C65" s="1" t="s">
        <v>10</v>
      </c>
      <c r="H65" s="37">
        <f>+H9</f>
        <v>11</v>
      </c>
    </row>
    <row r="66" spans="2:18" x14ac:dyDescent="0.25">
      <c r="C66" s="1" t="s">
        <v>27</v>
      </c>
      <c r="H66" s="38">
        <v>0.22451599999999999</v>
      </c>
      <c r="O66" s="1" t="s">
        <v>29</v>
      </c>
    </row>
    <row r="67" spans="2:18" x14ac:dyDescent="0.25">
      <c r="C67" s="1" t="s">
        <v>28</v>
      </c>
      <c r="H67" s="38">
        <v>0.495</v>
      </c>
      <c r="O67" s="1" t="s">
        <v>30</v>
      </c>
      <c r="R67" s="38">
        <v>0.12</v>
      </c>
    </row>
    <row r="68" spans="2:18" x14ac:dyDescent="0.25">
      <c r="C68" s="1" t="s">
        <v>33</v>
      </c>
      <c r="H68" s="38">
        <v>0.12</v>
      </c>
    </row>
    <row r="69" spans="2:18" x14ac:dyDescent="0.25">
      <c r="C69" s="1" t="s">
        <v>35</v>
      </c>
      <c r="H69" s="38">
        <v>0.22451599999999999</v>
      </c>
      <c r="M69" s="1" t="s">
        <v>54</v>
      </c>
      <c r="O69" s="1" t="s">
        <v>52</v>
      </c>
      <c r="R69" s="1">
        <v>12.99</v>
      </c>
    </row>
    <row r="70" spans="2:18" x14ac:dyDescent="0.25">
      <c r="C70" s="36" t="s">
        <v>36</v>
      </c>
      <c r="H70" s="38">
        <f>(SUM(H65:H69))*H64</f>
        <v>21.112055999999995</v>
      </c>
      <c r="P70" s="1" t="s">
        <v>53</v>
      </c>
      <c r="R70" s="1">
        <f>+R69/320</f>
        <v>4.0593749999999998E-2</v>
      </c>
    </row>
    <row r="71" spans="2:18" x14ac:dyDescent="0.25">
      <c r="D71" s="1" t="s">
        <v>37</v>
      </c>
      <c r="H71" s="38">
        <f>+H70*365</f>
        <v>7705.9004399999985</v>
      </c>
    </row>
    <row r="73" spans="2:18" x14ac:dyDescent="0.25">
      <c r="B73" s="1" t="s">
        <v>38</v>
      </c>
      <c r="H73" s="11">
        <f>+H60+H71</f>
        <v>8005.9004399999985</v>
      </c>
    </row>
    <row r="76" spans="2:18" x14ac:dyDescent="0.25">
      <c r="B76" s="1" t="s">
        <v>39</v>
      </c>
    </row>
    <row r="77" spans="2:18" x14ac:dyDescent="0.25">
      <c r="C77" s="41" t="s">
        <v>41</v>
      </c>
      <c r="E77" s="1" t="s">
        <v>103</v>
      </c>
      <c r="H77" s="1">
        <f>+H8</f>
        <v>50</v>
      </c>
    </row>
    <row r="78" spans="2:18" x14ac:dyDescent="0.25">
      <c r="E78" s="1" t="s">
        <v>40</v>
      </c>
      <c r="H78" s="38">
        <f>K78*(1-O78)</f>
        <v>8.4375</v>
      </c>
      <c r="J78" s="1" t="s">
        <v>64</v>
      </c>
      <c r="K78" s="42">
        <v>11.25</v>
      </c>
      <c r="L78" s="42"/>
      <c r="M78" s="1" t="s">
        <v>65</v>
      </c>
      <c r="O78" s="12">
        <v>0.25</v>
      </c>
    </row>
    <row r="79" spans="2:18" x14ac:dyDescent="0.25">
      <c r="D79" s="1" t="s">
        <v>42</v>
      </c>
      <c r="H79" s="38">
        <f>+H77*H78</f>
        <v>421.875</v>
      </c>
    </row>
    <row r="81" spans="2:10" x14ac:dyDescent="0.25">
      <c r="C81" s="1" t="s">
        <v>43</v>
      </c>
    </row>
    <row r="82" spans="2:10" x14ac:dyDescent="0.25">
      <c r="C82" s="1" t="s">
        <v>21</v>
      </c>
    </row>
    <row r="83" spans="2:10" x14ac:dyDescent="0.25">
      <c r="C83" s="1" t="s">
        <v>20</v>
      </c>
      <c r="H83" s="35">
        <f>+H8*2.1/60</f>
        <v>1.75</v>
      </c>
    </row>
    <row r="84" spans="2:10" x14ac:dyDescent="0.25">
      <c r="C84" s="1" t="s">
        <v>10</v>
      </c>
      <c r="H84" s="37">
        <f>+H9</f>
        <v>11</v>
      </c>
    </row>
    <row r="85" spans="2:10" x14ac:dyDescent="0.25">
      <c r="C85" s="1" t="s">
        <v>27</v>
      </c>
      <c r="H85" s="38">
        <v>0.22451599999999999</v>
      </c>
    </row>
    <row r="86" spans="2:10" x14ac:dyDescent="0.25">
      <c r="C86" s="1" t="s">
        <v>28</v>
      </c>
      <c r="H86" s="38">
        <v>0.495</v>
      </c>
    </row>
    <row r="87" spans="2:10" x14ac:dyDescent="0.25">
      <c r="C87" s="1" t="s">
        <v>33</v>
      </c>
      <c r="H87" s="38">
        <v>0.12</v>
      </c>
    </row>
    <row r="88" spans="2:10" x14ac:dyDescent="0.25">
      <c r="C88" s="1" t="s">
        <v>35</v>
      </c>
      <c r="H88" s="38">
        <v>0.22451599999999999</v>
      </c>
    </row>
    <row r="89" spans="2:10" x14ac:dyDescent="0.25">
      <c r="C89" s="36" t="s">
        <v>36</v>
      </c>
      <c r="H89" s="38">
        <f>(SUM(H84:H88))*H83</f>
        <v>21.112055999999995</v>
      </c>
    </row>
    <row r="90" spans="2:10" x14ac:dyDescent="0.25">
      <c r="B90" s="1" t="s">
        <v>125</v>
      </c>
      <c r="H90" s="38">
        <f>+H89*365/8</f>
        <v>963.23755499999982</v>
      </c>
    </row>
    <row r="92" spans="2:10" x14ac:dyDescent="0.25">
      <c r="B92" s="11"/>
    </row>
    <row r="93" spans="2:10" x14ac:dyDescent="0.25">
      <c r="C93" s="1" t="s">
        <v>102</v>
      </c>
      <c r="H93" s="35">
        <f>15*H8*0.5/60/60</f>
        <v>0.10416666666666667</v>
      </c>
      <c r="I93" s="1" t="s">
        <v>46</v>
      </c>
      <c r="J93" s="1" t="s">
        <v>55</v>
      </c>
    </row>
    <row r="94" spans="2:10" x14ac:dyDescent="0.25">
      <c r="C94" s="1" t="s">
        <v>10</v>
      </c>
      <c r="H94" s="37">
        <f>+H9</f>
        <v>11</v>
      </c>
    </row>
    <row r="95" spans="2:10" x14ac:dyDescent="0.25">
      <c r="D95" s="1" t="s">
        <v>48</v>
      </c>
      <c r="H95" s="11">
        <f>+H93*H94*360</f>
        <v>412.50000000000006</v>
      </c>
      <c r="I95" s="1" t="s">
        <v>66</v>
      </c>
    </row>
    <row r="97" spans="2:12" x14ac:dyDescent="0.25">
      <c r="C97" s="1" t="s">
        <v>126</v>
      </c>
      <c r="H97" s="38">
        <f>1*H8*0.04</f>
        <v>2</v>
      </c>
      <c r="I97" s="1" t="s">
        <v>59</v>
      </c>
    </row>
    <row r="98" spans="2:12" x14ac:dyDescent="0.25">
      <c r="D98" s="1" t="s">
        <v>47</v>
      </c>
      <c r="H98" s="38">
        <f>+H97*90</f>
        <v>180</v>
      </c>
      <c r="I98" s="1" t="s">
        <v>66</v>
      </c>
    </row>
    <row r="100" spans="2:12" x14ac:dyDescent="0.25">
      <c r="B100" s="1" t="s">
        <v>50</v>
      </c>
    </row>
    <row r="101" spans="2:12" x14ac:dyDescent="0.25">
      <c r="C101" s="1" t="s">
        <v>49</v>
      </c>
      <c r="H101" s="1">
        <v>0.18</v>
      </c>
    </row>
    <row r="102" spans="2:12" x14ac:dyDescent="0.25">
      <c r="C102" s="1" t="s">
        <v>124</v>
      </c>
      <c r="H102" s="6">
        <f>+H43</f>
        <v>50</v>
      </c>
    </row>
    <row r="103" spans="2:12" x14ac:dyDescent="0.25">
      <c r="D103" s="1" t="s">
        <v>47</v>
      </c>
      <c r="H103" s="38">
        <f>+H101*H102*365</f>
        <v>3285</v>
      </c>
    </row>
    <row r="105" spans="2:12" x14ac:dyDescent="0.25">
      <c r="B105" s="1" t="s">
        <v>51</v>
      </c>
      <c r="H105" s="11">
        <f>+H79+H90+H95+H98+H103</f>
        <v>5262.6125549999997</v>
      </c>
    </row>
    <row r="109" spans="2:12" x14ac:dyDescent="0.25">
      <c r="B109" s="1" t="s">
        <v>81</v>
      </c>
    </row>
    <row r="111" spans="2:12" x14ac:dyDescent="0.25">
      <c r="E111" s="1" t="s">
        <v>82</v>
      </c>
      <c r="J111" s="1" t="s">
        <v>88</v>
      </c>
    </row>
    <row r="112" spans="2:12" x14ac:dyDescent="0.25">
      <c r="F112" s="1" t="s">
        <v>83</v>
      </c>
      <c r="G112" s="1">
        <f>H8</f>
        <v>50</v>
      </c>
      <c r="H112" s="38"/>
      <c r="J112" s="42">
        <f>K78</f>
        <v>11.25</v>
      </c>
      <c r="L112" s="42"/>
    </row>
    <row r="113" spans="5:10" x14ac:dyDescent="0.25">
      <c r="F113" s="1" t="s">
        <v>84</v>
      </c>
      <c r="G113" s="1">
        <f>H8*H44*60</f>
        <v>0</v>
      </c>
      <c r="H113" s="1" t="s">
        <v>87</v>
      </c>
      <c r="J113" s="1">
        <f>H101</f>
        <v>0.18</v>
      </c>
    </row>
    <row r="114" spans="5:10" x14ac:dyDescent="0.25">
      <c r="F114" s="1" t="s">
        <v>85</v>
      </c>
      <c r="J114" s="12">
        <f>O78</f>
        <v>0.25</v>
      </c>
    </row>
    <row r="115" spans="5:10" x14ac:dyDescent="0.25">
      <c r="F115" s="1" t="s">
        <v>86</v>
      </c>
      <c r="J115" s="42">
        <f>(+G112*J112+G113*J113)*(1-J114)</f>
        <v>421.875</v>
      </c>
    </row>
    <row r="117" spans="5:10" x14ac:dyDescent="0.25">
      <c r="E117" s="1" t="s">
        <v>89</v>
      </c>
    </row>
    <row r="118" spans="5:10" x14ac:dyDescent="0.25">
      <c r="F118" s="1" t="s">
        <v>90</v>
      </c>
      <c r="J118" s="43">
        <f>H14/365</f>
        <v>0</v>
      </c>
    </row>
    <row r="119" spans="5:10" x14ac:dyDescent="0.25">
      <c r="F119" s="1" t="s">
        <v>91</v>
      </c>
      <c r="J119" s="43">
        <f>H15/365</f>
        <v>7.5158572191780788</v>
      </c>
    </row>
    <row r="121" spans="5:10" x14ac:dyDescent="0.25">
      <c r="E121" s="1" t="s">
        <v>92</v>
      </c>
    </row>
    <row r="122" spans="5:10" x14ac:dyDescent="0.25">
      <c r="F122" s="1" t="s">
        <v>90</v>
      </c>
      <c r="J122" s="31" t="e">
        <f>J115/J118</f>
        <v>#DIV/0!</v>
      </c>
    </row>
    <row r="123" spans="5:10" x14ac:dyDescent="0.25">
      <c r="F123" s="1" t="s">
        <v>91</v>
      </c>
      <c r="J123" s="31">
        <f>J115/J119</f>
        <v>56.131321777043489</v>
      </c>
    </row>
  </sheetData>
  <sheetProtection password="9880"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Feeding</vt:lpstr>
      <vt:lpstr>Hydration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Amy</cp:lastModifiedBy>
  <cp:lastPrinted>2017-05-09T00:35:15Z</cp:lastPrinted>
  <dcterms:created xsi:type="dcterms:W3CDTF">2017-04-22T22:51:48Z</dcterms:created>
  <dcterms:modified xsi:type="dcterms:W3CDTF">2017-06-06T21:56:22Z</dcterms:modified>
</cp:coreProperties>
</file>